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SKRIPSI\"/>
    </mc:Choice>
  </mc:AlternateContent>
  <bookViews>
    <workbookView xWindow="0" yWindow="0" windowWidth="23040" windowHeight="9192"/>
  </bookViews>
  <sheets>
    <sheet name="Sheet1" sheetId="1" r:id="rId1"/>
    <sheet name="Sheet2" sheetId="4" state="hidden" r:id="rId2"/>
    <sheet name="KONTROL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" i="1" l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M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H39" i="1"/>
  <c r="B39" i="1"/>
  <c r="B28" i="1"/>
  <c r="H28" i="1"/>
  <c r="H17" i="1"/>
  <c r="H18" i="1" s="1"/>
  <c r="H19" i="1" s="1"/>
  <c r="H13" i="1"/>
  <c r="H9" i="1"/>
  <c r="B19" i="1"/>
  <c r="G89" i="1" l="1"/>
  <c r="F89" i="1"/>
  <c r="G83" i="1"/>
  <c r="G84" i="1"/>
  <c r="G85" i="1"/>
  <c r="G86" i="1"/>
  <c r="G87" i="1"/>
  <c r="G88" i="1"/>
  <c r="G82" i="1"/>
  <c r="F88" i="1"/>
  <c r="F87" i="1"/>
  <c r="F86" i="1"/>
  <c r="F85" i="1"/>
  <c r="F84" i="1"/>
  <c r="F83" i="1"/>
  <c r="F82" i="1"/>
  <c r="H82" i="1"/>
  <c r="G76" i="1"/>
  <c r="G77" i="1"/>
  <c r="G78" i="1"/>
  <c r="G79" i="1"/>
  <c r="G80" i="1"/>
  <c r="G81" i="1"/>
  <c r="G75" i="1"/>
  <c r="F81" i="1"/>
  <c r="F80" i="1"/>
  <c r="F79" i="1"/>
  <c r="F78" i="1"/>
  <c r="F77" i="1"/>
  <c r="F76" i="1"/>
  <c r="F75" i="1"/>
  <c r="H75" i="1"/>
  <c r="G69" i="1" l="1"/>
  <c r="G70" i="1"/>
  <c r="G71" i="1"/>
  <c r="G72" i="1"/>
  <c r="G73" i="1"/>
  <c r="G74" i="1"/>
  <c r="F73" i="1"/>
  <c r="F72" i="1"/>
  <c r="F71" i="1"/>
  <c r="F70" i="1"/>
  <c r="F69" i="1"/>
  <c r="F74" i="1"/>
  <c r="G63" i="1" l="1"/>
  <c r="G64" i="1"/>
  <c r="G65" i="1"/>
  <c r="G66" i="1"/>
  <c r="G67" i="1"/>
  <c r="G68" i="1"/>
  <c r="G62" i="1"/>
  <c r="F68" i="1"/>
  <c r="F67" i="1"/>
  <c r="F66" i="1"/>
  <c r="F65" i="1"/>
  <c r="F64" i="1"/>
  <c r="F63" i="1"/>
  <c r="F62" i="1"/>
  <c r="H62" i="1"/>
  <c r="G56" i="1" l="1"/>
  <c r="G57" i="1"/>
  <c r="G58" i="1"/>
  <c r="G59" i="1"/>
  <c r="G60" i="1"/>
  <c r="G61" i="1"/>
  <c r="F61" i="1"/>
  <c r="F60" i="1"/>
  <c r="F59" i="1"/>
  <c r="F58" i="1"/>
  <c r="F57" i="1"/>
  <c r="F56" i="1"/>
  <c r="G51" i="1"/>
  <c r="G52" i="1"/>
  <c r="G53" i="1"/>
  <c r="G54" i="1"/>
  <c r="G55" i="1"/>
  <c r="G50" i="1"/>
  <c r="F55" i="1"/>
  <c r="F54" i="1"/>
  <c r="F53" i="1"/>
  <c r="F52" i="1"/>
  <c r="F51" i="1"/>
  <c r="F50" i="1"/>
  <c r="G45" i="1"/>
  <c r="G46" i="1"/>
  <c r="G47" i="1"/>
  <c r="G48" i="1"/>
  <c r="G49" i="1"/>
  <c r="G44" i="1"/>
  <c r="H50" i="1"/>
  <c r="F49" i="1"/>
  <c r="F48" i="1"/>
  <c r="F46" i="1"/>
  <c r="F45" i="1"/>
  <c r="F44" i="1" l="1"/>
  <c r="H44" i="1"/>
  <c r="G43" i="1"/>
  <c r="F43" i="1"/>
  <c r="G38" i="1"/>
  <c r="G39" i="1"/>
  <c r="G40" i="1"/>
  <c r="G41" i="1"/>
  <c r="G42" i="1"/>
  <c r="F42" i="1"/>
  <c r="F41" i="1"/>
  <c r="F40" i="1"/>
  <c r="F39" i="1" l="1"/>
  <c r="F38" i="1"/>
  <c r="G21" i="1"/>
  <c r="G22" i="1"/>
  <c r="G23" i="1"/>
  <c r="G24" i="1"/>
  <c r="G25" i="1"/>
  <c r="G26" i="1"/>
  <c r="G20" i="1"/>
  <c r="G27" i="1"/>
  <c r="G28" i="1"/>
  <c r="G29" i="1"/>
  <c r="G30" i="1"/>
  <c r="G31" i="1"/>
  <c r="G33" i="1"/>
  <c r="G34" i="1"/>
  <c r="G35" i="1"/>
  <c r="G32" i="1"/>
  <c r="G36" i="1"/>
  <c r="G37" i="1"/>
  <c r="H45" i="1" l="1"/>
  <c r="F37" i="1"/>
  <c r="F36" i="1"/>
  <c r="F34" i="1" l="1"/>
  <c r="F33" i="1"/>
  <c r="F32" i="1"/>
  <c r="F31" i="1" l="1"/>
  <c r="F30" i="1"/>
  <c r="F29" i="1"/>
  <c r="I4" i="3"/>
  <c r="I5" i="3" s="1"/>
  <c r="I6" i="3" s="1"/>
  <c r="I7" i="3" s="1"/>
  <c r="I8" i="3" s="1"/>
  <c r="I9" i="3" s="1"/>
  <c r="F26" i="1" l="1"/>
  <c r="F25" i="1"/>
  <c r="F20" i="1"/>
  <c r="F21" i="1"/>
  <c r="F24" i="1"/>
  <c r="F23" i="1"/>
  <c r="F22" i="1"/>
  <c r="F4" i="3"/>
  <c r="F5" i="3" s="1"/>
  <c r="F6" i="3" s="1"/>
  <c r="F7" i="3" s="1"/>
  <c r="F8" i="3" s="1"/>
  <c r="F9" i="3" s="1"/>
  <c r="F16" i="1" l="1"/>
  <c r="F15" i="1"/>
  <c r="F14" i="1" l="1"/>
  <c r="F13" i="1"/>
  <c r="H15" i="1"/>
  <c r="F9" i="1" l="1"/>
  <c r="F6" i="1" l="1"/>
  <c r="F4" i="1"/>
  <c r="F7" i="1" l="1"/>
  <c r="F3" i="1"/>
  <c r="F5" i="1"/>
  <c r="H11" i="1"/>
  <c r="H10" i="1" s="1"/>
  <c r="F8" i="1" l="1"/>
  <c r="B40" i="1" l="1"/>
  <c r="B21" i="1"/>
  <c r="B22" i="1" s="1"/>
  <c r="A24" i="3" l="1"/>
  <c r="A25" i="3" s="1"/>
  <c r="A26" i="3" s="1"/>
  <c r="A27" i="3" s="1"/>
  <c r="A28" i="3" s="1"/>
  <c r="A29" i="3" s="1"/>
  <c r="A14" i="3"/>
  <c r="A15" i="3" s="1"/>
  <c r="A16" i="3" s="1"/>
  <c r="A17" i="3" s="1"/>
  <c r="A18" i="3" s="1"/>
  <c r="A19" i="3" s="1"/>
  <c r="A4" i="3"/>
  <c r="A5" i="3" s="1"/>
  <c r="A6" i="3" s="1"/>
  <c r="A7" i="3" s="1"/>
  <c r="A8" i="3" s="1"/>
  <c r="A9" i="3" s="1"/>
  <c r="B45" i="1" l="1"/>
  <c r="B29" i="1" l="1"/>
  <c r="B47" i="1" l="1"/>
  <c r="B48" i="1" l="1"/>
  <c r="B49" i="1" s="1"/>
  <c r="B30" i="1" s="1"/>
  <c r="B31" i="1" s="1"/>
  <c r="B23" i="1"/>
  <c r="B24" i="1" s="1"/>
  <c r="B25" i="1" s="1"/>
  <c r="B26" i="1" l="1"/>
  <c r="B41" i="1"/>
  <c r="B42" i="1" s="1"/>
  <c r="B70" i="1"/>
  <c r="B71" i="1" s="1"/>
  <c r="B72" i="1" s="1"/>
  <c r="B73" i="1" s="1"/>
  <c r="B74" i="1" s="1"/>
  <c r="B51" i="1"/>
  <c r="B53" i="1"/>
  <c r="B54" i="1" s="1"/>
  <c r="B55" i="1" s="1"/>
  <c r="B76" i="1"/>
  <c r="B77" i="1"/>
  <c r="B78" i="1" s="1"/>
  <c r="B79" i="1" s="1"/>
  <c r="B80" i="1" s="1"/>
  <c r="B81" i="1" s="1"/>
  <c r="B57" i="1" s="1"/>
  <c r="B58" i="1" s="1"/>
  <c r="B59" i="1" s="1"/>
  <c r="B60" i="1" s="1"/>
  <c r="B61" i="1" s="1"/>
  <c r="B3" i="1"/>
  <c r="B4" i="1" s="1"/>
  <c r="B5" i="1" s="1"/>
  <c r="B6" i="1" s="1"/>
  <c r="B7" i="1" s="1"/>
  <c r="B8" i="1" s="1"/>
  <c r="B33" i="1"/>
  <c r="B34" i="1" s="1"/>
  <c r="B83" i="1"/>
  <c r="B84" i="1" s="1"/>
  <c r="B85" i="1" s="1"/>
  <c r="B86" i="1" s="1"/>
  <c r="B87" i="1" s="1"/>
  <c r="B88" i="1" s="1"/>
  <c r="B63" i="1"/>
  <c r="B64" i="1" s="1"/>
  <c r="B65" i="1" s="1"/>
  <c r="B66" i="1" s="1"/>
  <c r="B67" i="1" s="1"/>
  <c r="B68" i="1" s="1"/>
  <c r="H7" i="1"/>
  <c r="H6" i="1" s="1"/>
  <c r="H5" i="1" s="1"/>
  <c r="H4" i="1" s="1"/>
  <c r="H3" i="1" s="1"/>
  <c r="H2" i="1" s="1"/>
  <c r="H70" i="1"/>
  <c r="H71" i="1" s="1"/>
  <c r="H72" i="1" s="1"/>
  <c r="H73" i="1" s="1"/>
  <c r="H74" i="1" s="1"/>
  <c r="H51" i="1"/>
  <c r="H53" i="1"/>
  <c r="H54" i="1" s="1"/>
  <c r="H55" i="1" s="1"/>
  <c r="H76" i="1"/>
  <c r="H77" i="1" s="1"/>
  <c r="H78" i="1" s="1"/>
  <c r="H79" i="1" s="1"/>
  <c r="H80" i="1" s="1"/>
  <c r="H81" i="1" s="1"/>
  <c r="H57" i="1" s="1"/>
  <c r="H58" i="1" s="1"/>
  <c r="H59" i="1" s="1"/>
  <c r="H60" i="1" s="1"/>
  <c r="H61" i="1" s="1"/>
  <c r="H83" i="1"/>
  <c r="H84" i="1" s="1"/>
  <c r="H85" i="1" s="1"/>
  <c r="H86" i="1" s="1"/>
  <c r="H87" i="1" s="1"/>
  <c r="H88" i="1" s="1"/>
  <c r="H14" i="1"/>
  <c r="H47" i="1"/>
  <c r="H48" i="1" s="1"/>
  <c r="H49" i="1" s="1"/>
  <c r="H29" i="1"/>
  <c r="H30" i="1" s="1"/>
  <c r="H31" i="1" s="1"/>
  <c r="H40" i="1"/>
  <c r="H41" i="1" s="1"/>
  <c r="H42" i="1" s="1"/>
  <c r="H63" i="1"/>
  <c r="H64" i="1" s="1"/>
  <c r="H65" i="1" s="1"/>
  <c r="H66" i="1" s="1"/>
  <c r="H67" i="1" s="1"/>
  <c r="H68" i="1" s="1"/>
  <c r="H25" i="1"/>
  <c r="H24" i="1" s="1"/>
  <c r="H23" i="1" s="1"/>
  <c r="H22" i="1" s="1"/>
  <c r="H21" i="1" s="1"/>
  <c r="H20" i="1" s="1"/>
</calcChain>
</file>

<file path=xl/sharedStrings.xml><?xml version="1.0" encoding="utf-8"?>
<sst xmlns="http://schemas.openxmlformats.org/spreadsheetml/2006/main" count="137" uniqueCount="42">
  <si>
    <t>PERUSAHAAN</t>
  </si>
  <si>
    <t>TAHUN</t>
  </si>
  <si>
    <t>POPULASI</t>
  </si>
  <si>
    <t>PDB</t>
  </si>
  <si>
    <t>INFLASI</t>
  </si>
  <si>
    <t>PT Indosat Tbk</t>
  </si>
  <si>
    <t>INDONESIA</t>
  </si>
  <si>
    <t>MALAYSIA</t>
  </si>
  <si>
    <t>BAHRAIN</t>
  </si>
  <si>
    <r>
      <t xml:space="preserve"> </t>
    </r>
    <r>
      <rPr>
        <sz val="11"/>
        <color rgb="FF000000"/>
        <rFont val="Calibri"/>
        <family val="2"/>
        <scheme val="minor"/>
      </rPr>
      <t>PT Mora Telematika Indonesia Tbk</t>
    </r>
  </si>
  <si>
    <t>BEWG (M) Sdn Bhd</t>
  </si>
  <si>
    <t>Telkom Indonesia (Persero) Tbk</t>
  </si>
  <si>
    <t xml:space="preserve">Wijaya Karya (Persero) Tbk. </t>
  </si>
  <si>
    <t>Yinson Holdings Bhd</t>
  </si>
  <si>
    <t>Petronas Dagangan Bhd</t>
  </si>
  <si>
    <t>AZRB Capital Sdn Bhd</t>
  </si>
  <si>
    <t>Malakoff Power Bhd</t>
  </si>
  <si>
    <t>Malaysia Marine and Heavy Engineering Holdings Berhad</t>
  </si>
  <si>
    <t>George Kent (Malaysia) Bhd</t>
  </si>
  <si>
    <t>Westports Malaysia Sdn Bhd</t>
  </si>
  <si>
    <t>Gas Malaysia Sdn Bhd</t>
  </si>
  <si>
    <t>Alam Maritim Resources Bhd</t>
  </si>
  <si>
    <t xml:space="preserve">Jasamarga </t>
  </si>
  <si>
    <t>PT Sarana Multi Infrastruktur (Persero)</t>
  </si>
  <si>
    <t>Tenaga Nasional Berhad</t>
  </si>
  <si>
    <t>Ekovest Berhad</t>
  </si>
  <si>
    <t>Ranhill Utilities</t>
  </si>
  <si>
    <t>Axiata Group Berhad</t>
  </si>
  <si>
    <t>KURS</t>
  </si>
  <si>
    <t>MYR to IDR (avg)</t>
  </si>
  <si>
    <t>HK$ to IDR (avg)</t>
  </si>
  <si>
    <t>RATING</t>
  </si>
  <si>
    <t>ROA</t>
  </si>
  <si>
    <t>BOARD</t>
  </si>
  <si>
    <t>INST</t>
  </si>
  <si>
    <t>SIZE</t>
  </si>
  <si>
    <t>AGE</t>
  </si>
  <si>
    <t>POP</t>
  </si>
  <si>
    <t>INF</t>
  </si>
  <si>
    <t>SIZE (LN)</t>
  </si>
  <si>
    <t>POP (LN)</t>
  </si>
  <si>
    <t>PDB (LN)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</si>
</sst>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rgb="FFDDDDDD"/>
      </bottom>
      <diagonal/>
    </border>
    <border>
      <left style="thin">
        <color indexed="64"/>
      </left>
      <right style="thin">
        <color indexed="64"/>
      </right>
      <top style="dotted">
        <color rgb="FFDDDDDD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dotted">
        <color rgb="FFDDDDDD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3" fontId="0" fillId="0" borderId="5" xfId="0" applyNumberFormat="1" applyBorder="1"/>
    <xf numFmtId="3" fontId="0" fillId="0" borderId="3" xfId="0" applyNumberFormat="1" applyBorder="1"/>
    <xf numFmtId="3" fontId="0" fillId="0" borderId="3" xfId="0" applyNumberFormat="1" applyBorder="1" applyAlignment="1">
      <alignment vertical="center"/>
    </xf>
    <xf numFmtId="3" fontId="0" fillId="0" borderId="4" xfId="0" applyNumberFormat="1" applyBorder="1"/>
    <xf numFmtId="3" fontId="0" fillId="0" borderId="5" xfId="0" applyNumberFormat="1" applyFill="1" applyBorder="1"/>
    <xf numFmtId="3" fontId="0" fillId="0" borderId="3" xfId="0" applyNumberFormat="1" applyFill="1" applyBorder="1"/>
    <xf numFmtId="3" fontId="0" fillId="0" borderId="4" xfId="0" applyNumberFormat="1" applyFill="1" applyBorder="1"/>
    <xf numFmtId="2" fontId="0" fillId="0" borderId="0" xfId="0" applyNumberFormat="1"/>
    <xf numFmtId="2" fontId="0" fillId="0" borderId="1" xfId="0" applyNumberFormat="1" applyBorder="1" applyAlignment="1">
      <alignment horizontal="center" vertical="center"/>
    </xf>
    <xf numFmtId="2" fontId="0" fillId="0" borderId="5" xfId="0" applyNumberFormat="1" applyFill="1" applyBorder="1"/>
    <xf numFmtId="2" fontId="0" fillId="0" borderId="3" xfId="0" applyNumberFormat="1" applyFill="1" applyBorder="1"/>
    <xf numFmtId="2" fontId="0" fillId="0" borderId="4" xfId="0" applyNumberFormat="1" applyFill="1" applyBorder="1"/>
    <xf numFmtId="0" fontId="0" fillId="0" borderId="0" xfId="0" applyFill="1"/>
    <xf numFmtId="0" fontId="0" fillId="0" borderId="0" xfId="0" applyFont="1" applyFill="1" applyAlignment="1">
      <alignment vertical="center"/>
    </xf>
    <xf numFmtId="0" fontId="0" fillId="0" borderId="5" xfId="0" applyFont="1" applyBorder="1"/>
    <xf numFmtId="0" fontId="0" fillId="0" borderId="3" xfId="0" applyFont="1" applyBorder="1"/>
    <xf numFmtId="3" fontId="0" fillId="0" borderId="5" xfId="0" applyNumberFormat="1" applyFont="1" applyBorder="1"/>
    <xf numFmtId="3" fontId="0" fillId="0" borderId="3" xfId="0" applyNumberFormat="1" applyFont="1" applyBorder="1"/>
    <xf numFmtId="3" fontId="0" fillId="0" borderId="3" xfId="0" applyNumberFormat="1" applyFont="1" applyFill="1" applyBorder="1"/>
    <xf numFmtId="3" fontId="0" fillId="0" borderId="3" xfId="0" applyNumberFormat="1" applyFont="1" applyBorder="1" applyAlignment="1">
      <alignment vertical="center"/>
    </xf>
    <xf numFmtId="0" fontId="0" fillId="0" borderId="4" xfId="0" applyFont="1" applyBorder="1"/>
    <xf numFmtId="3" fontId="0" fillId="0" borderId="4" xfId="0" applyNumberFormat="1" applyFont="1" applyBorder="1"/>
    <xf numFmtId="3" fontId="0" fillId="0" borderId="4" xfId="0" applyNumberFormat="1" applyFont="1" applyFill="1" applyBorder="1"/>
    <xf numFmtId="0" fontId="0" fillId="0" borderId="0" xfId="0" applyFont="1"/>
    <xf numFmtId="0" fontId="0" fillId="0" borderId="7" xfId="0" applyBorder="1"/>
    <xf numFmtId="0" fontId="0" fillId="0" borderId="0" xfId="0" applyFill="1" applyBorder="1"/>
    <xf numFmtId="0" fontId="0" fillId="0" borderId="0" xfId="0" applyBorder="1"/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0" fillId="0" borderId="7" xfId="0" applyFill="1" applyBorder="1"/>
    <xf numFmtId="0" fontId="0" fillId="0" borderId="7" xfId="0" applyFont="1" applyFill="1" applyBorder="1" applyAlignment="1">
      <alignment vertical="center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 wrapText="1"/>
    </xf>
    <xf numFmtId="2" fontId="0" fillId="0" borderId="5" xfId="0" applyNumberFormat="1" applyFont="1" applyBorder="1"/>
    <xf numFmtId="2" fontId="0" fillId="0" borderId="3" xfId="0" applyNumberFormat="1" applyFont="1" applyBorder="1"/>
    <xf numFmtId="2" fontId="0" fillId="0" borderId="4" xfId="0" applyNumberFormat="1" applyFont="1" applyBorder="1"/>
    <xf numFmtId="2" fontId="0" fillId="0" borderId="5" xfId="0" applyNumberFormat="1" applyBorder="1"/>
    <xf numFmtId="2" fontId="0" fillId="0" borderId="3" xfId="0" applyNumberFormat="1" applyBorder="1"/>
    <xf numFmtId="2" fontId="0" fillId="0" borderId="4" xfId="0" applyNumberFormat="1" applyBorder="1"/>
    <xf numFmtId="3" fontId="0" fillId="0" borderId="0" xfId="0" applyNumberFormat="1"/>
    <xf numFmtId="10" fontId="0" fillId="0" borderId="5" xfId="0" applyNumberFormat="1" applyFont="1" applyBorder="1"/>
    <xf numFmtId="10" fontId="0" fillId="0" borderId="3" xfId="0" applyNumberFormat="1" applyFont="1" applyBorder="1"/>
    <xf numFmtId="10" fontId="0" fillId="0" borderId="4" xfId="0" applyNumberFormat="1" applyFont="1" applyBorder="1"/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2" fontId="0" fillId="0" borderId="4" xfId="0" applyNumberFormat="1" applyFont="1" applyBorder="1" applyAlignment="1">
      <alignment horizontal="center" vertical="center"/>
    </xf>
    <xf numFmtId="3" fontId="0" fillId="0" borderId="4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10" fontId="0" fillId="0" borderId="6" xfId="0" applyNumberFormat="1" applyFont="1" applyBorder="1" applyAlignment="1">
      <alignment vertical="center" wrapText="1"/>
    </xf>
    <xf numFmtId="10" fontId="0" fillId="0" borderId="0" xfId="0" applyNumberFormat="1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7" xfId="0" applyFont="1" applyBorder="1" applyAlignment="1">
      <alignment vertical="center"/>
    </xf>
    <xf numFmtId="9" fontId="0" fillId="0" borderId="3" xfId="0" applyNumberFormat="1" applyFont="1" applyBorder="1"/>
    <xf numFmtId="10" fontId="0" fillId="0" borderId="5" xfId="0" applyNumberFormat="1" applyBorder="1"/>
    <xf numFmtId="10" fontId="0" fillId="0" borderId="3" xfId="0" applyNumberFormat="1" applyBorder="1"/>
    <xf numFmtId="10" fontId="0" fillId="0" borderId="4" xfId="0" applyNumberFormat="1" applyBorder="1"/>
    <xf numFmtId="0" fontId="0" fillId="2" borderId="13" xfId="0" applyFont="1" applyFill="1" applyBorder="1"/>
    <xf numFmtId="3" fontId="0" fillId="2" borderId="14" xfId="0" applyNumberFormat="1" applyFont="1" applyFill="1" applyBorder="1"/>
    <xf numFmtId="0" fontId="0" fillId="0" borderId="13" xfId="0" applyFont="1" applyBorder="1"/>
    <xf numFmtId="3" fontId="0" fillId="0" borderId="14" xfId="0" applyNumberFormat="1" applyFont="1" applyBorder="1"/>
    <xf numFmtId="3" fontId="0" fillId="0" borderId="16" xfId="0" applyNumberFormat="1" applyFont="1" applyBorder="1"/>
    <xf numFmtId="3" fontId="0" fillId="2" borderId="16" xfId="0" applyNumberFormat="1" applyFont="1" applyFill="1" applyBorder="1"/>
    <xf numFmtId="3" fontId="0" fillId="0" borderId="15" xfId="0" applyNumberFormat="1" applyFont="1" applyBorder="1"/>
    <xf numFmtId="3" fontId="0" fillId="0" borderId="15" xfId="0" applyNumberFormat="1" applyFont="1" applyFill="1" applyBorder="1"/>
    <xf numFmtId="3" fontId="0" fillId="0" borderId="14" xfId="0" applyNumberFormat="1" applyFont="1" applyFill="1" applyBorder="1"/>
    <xf numFmtId="3" fontId="0" fillId="0" borderId="16" xfId="0" applyNumberFormat="1" applyFont="1" applyFill="1" applyBorder="1"/>
    <xf numFmtId="0" fontId="0" fillId="0" borderId="17" xfId="0" applyFont="1" applyBorder="1"/>
    <xf numFmtId="3" fontId="0" fillId="2" borderId="15" xfId="0" applyNumberFormat="1" applyFont="1" applyFill="1" applyBorder="1"/>
    <xf numFmtId="0" fontId="0" fillId="2" borderId="13" xfId="0" applyFont="1" applyFill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2" fillId="2" borderId="18" xfId="0" applyFont="1" applyFill="1" applyBorder="1" applyAlignment="1">
      <alignment horizontal="left" vertical="top"/>
    </xf>
    <xf numFmtId="2" fontId="0" fillId="0" borderId="11" xfId="0" applyNumberFormat="1" applyBorder="1"/>
    <xf numFmtId="2" fontId="0" fillId="0" borderId="12" xfId="0" applyNumberFormat="1" applyBorder="1"/>
    <xf numFmtId="0" fontId="2" fillId="0" borderId="18" xfId="0" applyFont="1" applyBorder="1" applyAlignment="1">
      <alignment horizontal="left" vertical="top"/>
    </xf>
    <xf numFmtId="9" fontId="0" fillId="0" borderId="3" xfId="0" applyNumberFormat="1" applyBorder="1"/>
    <xf numFmtId="0" fontId="0" fillId="0" borderId="6" xfId="0" applyBorder="1"/>
    <xf numFmtId="0" fontId="0" fillId="0" borderId="6" xfId="0" applyFont="1" applyBorder="1"/>
    <xf numFmtId="3" fontId="0" fillId="0" borderId="4" xfId="0" applyNumberFormat="1" applyFont="1" applyBorder="1" applyAlignment="1">
      <alignment vertical="center"/>
    </xf>
    <xf numFmtId="0" fontId="0" fillId="0" borderId="3" xfId="0" applyFont="1" applyBorder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2" fillId="0" borderId="8" xfId="0" applyFont="1" applyBorder="1" applyAlignment="1">
      <alignment horizontal="right" vertical="top" wrapText="1"/>
    </xf>
    <xf numFmtId="0" fontId="2" fillId="0" borderId="9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right"/>
    </xf>
    <xf numFmtId="3" fontId="0" fillId="0" borderId="10" xfId="0" applyNumberFormat="1" applyFont="1" applyFill="1" applyBorder="1"/>
    <xf numFmtId="3" fontId="0" fillId="0" borderId="11" xfId="0" applyNumberFormat="1" applyFont="1" applyFill="1" applyBorder="1"/>
    <xf numFmtId="3" fontId="0" fillId="0" borderId="12" xfId="0" applyNumberFormat="1" applyFont="1" applyFill="1" applyBorder="1"/>
    <xf numFmtId="3" fontId="0" fillId="0" borderId="11" xfId="0" applyNumberFormat="1" applyFill="1" applyBorder="1"/>
    <xf numFmtId="3" fontId="0" fillId="0" borderId="12" xfId="0" applyNumberFormat="1" applyFill="1" applyBorder="1"/>
    <xf numFmtId="3" fontId="0" fillId="0" borderId="10" xfId="0" applyNumberFormat="1" applyFill="1" applyBorder="1"/>
    <xf numFmtId="2" fontId="0" fillId="0" borderId="5" xfId="0" applyNumberFormat="1" applyFont="1" applyFill="1" applyBorder="1"/>
    <xf numFmtId="2" fontId="0" fillId="0" borderId="3" xfId="0" applyNumberFormat="1" applyFont="1" applyFill="1" applyBorder="1"/>
    <xf numFmtId="2" fontId="0" fillId="0" borderId="4" xfId="0" applyNumberFormat="1" applyFont="1" applyFill="1" applyBorder="1"/>
  </cellXfs>
  <cellStyles count="1">
    <cellStyle name="Normal" xfId="0" builtinId="0"/>
  </cellStyles>
  <dxfs count="16">
    <dxf>
      <numFmt numFmtId="0" formatCode="General"/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numFmt numFmtId="2" formatCode="0.0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222"/>
        <name val="Calibri"/>
        <scheme val="minor"/>
      </font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dotted">
          <color rgb="FFDDDDDD"/>
        </bottom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222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dotted">
          <color rgb="FFDDDDDD"/>
        </bottom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N89" totalsRowShown="0" headerRowDxfId="15" headerRowBorderDxfId="14" tableBorderDxfId="13">
  <autoFilter ref="A1:N89"/>
  <tableColumns count="14">
    <tableColumn id="1" name="PERUSAHAAN" dataDxfId="12"/>
    <tableColumn id="2" name="TAHUN" dataDxfId="11">
      <calculatedColumnFormula>B1+1</calculatedColumnFormula>
    </tableColumn>
    <tableColumn id="3" name="RATING" dataDxfId="4"/>
    <tableColumn id="4" name="ROA" dataDxfId="10"/>
    <tableColumn id="5" name="BOARD" dataDxfId="9"/>
    <tableColumn id="6" name="INST" dataDxfId="8"/>
    <tableColumn id="7" name="SIZE" dataDxfId="7"/>
    <tableColumn id="8" name="AGE"/>
    <tableColumn id="9" name="POP" dataDxfId="6"/>
    <tableColumn id="10" name="PDB" dataDxfId="5"/>
    <tableColumn id="11" name="INF" dataDxfId="3"/>
    <tableColumn id="12" name="SIZE (LN)" dataDxfId="2">
      <calculatedColumnFormula>LN(Table1[[#This Row],[SIZE]])</calculatedColumnFormula>
    </tableColumn>
    <tableColumn id="13" name="POP (LN)" dataDxfId="1">
      <calculatedColumnFormula>LN(Table1[[#This Row],[POP]])</calculatedColumnFormula>
    </tableColumn>
    <tableColumn id="14" name="PDB (LN)" dataDxfId="0">
      <calculatedColumnFormula>LN(Table1[[#This Row],[PDB]])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"/>
  <sheetViews>
    <sheetView tabSelected="1" workbookViewId="0">
      <selection activeCell="C11" sqref="C11"/>
    </sheetView>
  </sheetViews>
  <sheetFormatPr defaultRowHeight="14.4" x14ac:dyDescent="0.3"/>
  <cols>
    <col min="1" max="1" width="46.5546875" style="19" customWidth="1"/>
    <col min="2" max="2" width="9" customWidth="1"/>
    <col min="3" max="3" width="15.6640625" customWidth="1"/>
    <col min="4" max="4" width="9.5546875" customWidth="1"/>
    <col min="5" max="5" width="12.44140625" customWidth="1"/>
    <col min="6" max="6" width="11.33203125" style="14" customWidth="1"/>
    <col min="7" max="7" width="20.109375" style="47" customWidth="1"/>
    <col min="9" max="9" width="13.77734375" customWidth="1"/>
    <col min="10" max="10" width="19.5546875" customWidth="1"/>
    <col min="11" max="11" width="9.33203125" style="4" customWidth="1"/>
    <col min="12" max="12" width="12.33203125" style="4" customWidth="1"/>
    <col min="13" max="13" width="11.44140625" style="4" customWidth="1"/>
    <col min="14" max="14" width="11.6640625" customWidth="1"/>
  </cols>
  <sheetData>
    <row r="1" spans="1:14" x14ac:dyDescent="0.3">
      <c r="A1" s="51" t="s">
        <v>0</v>
      </c>
      <c r="B1" s="52" t="s">
        <v>1</v>
      </c>
      <c r="C1" s="52" t="s">
        <v>31</v>
      </c>
      <c r="D1" s="53" t="s">
        <v>32</v>
      </c>
      <c r="E1" s="52" t="s">
        <v>33</v>
      </c>
      <c r="F1" s="54" t="s">
        <v>34</v>
      </c>
      <c r="G1" s="55" t="s">
        <v>35</v>
      </c>
      <c r="H1" s="53" t="s">
        <v>36</v>
      </c>
      <c r="I1" s="52" t="s">
        <v>37</v>
      </c>
      <c r="J1" s="56" t="s">
        <v>3</v>
      </c>
      <c r="K1" s="52" t="s">
        <v>38</v>
      </c>
      <c r="L1" s="52" t="s">
        <v>39</v>
      </c>
      <c r="M1" s="52" t="s">
        <v>40</v>
      </c>
      <c r="N1" s="53" t="s">
        <v>41</v>
      </c>
    </row>
    <row r="2" spans="1:14" x14ac:dyDescent="0.3">
      <c r="A2" s="100" t="s">
        <v>5</v>
      </c>
      <c r="B2" s="21">
        <v>2015</v>
      </c>
      <c r="C2" s="87">
        <v>4</v>
      </c>
      <c r="D2" s="48">
        <v>-2.4E-2</v>
      </c>
      <c r="E2" s="21">
        <v>10</v>
      </c>
      <c r="F2" s="41">
        <v>0.65</v>
      </c>
      <c r="G2" s="24">
        <v>55388517000000</v>
      </c>
      <c r="H2" s="22">
        <f>H3-1</f>
        <v>48</v>
      </c>
      <c r="I2" s="23">
        <v>2555875000</v>
      </c>
      <c r="J2" s="102">
        <v>860854235065.07898</v>
      </c>
      <c r="K2" s="108">
        <v>6.3631211311561398</v>
      </c>
      <c r="L2" s="4">
        <f>LN(Table1[[#This Row],[SIZE]])</f>
        <v>31.645393413829254</v>
      </c>
      <c r="M2" s="4">
        <f>LN(Table1[[#This Row],[POP]])</f>
        <v>21.661660467727494</v>
      </c>
      <c r="N2">
        <f>LN(Table1[[#This Row],[PDB]])</f>
        <v>27.481191029788643</v>
      </c>
    </row>
    <row r="3" spans="1:14" x14ac:dyDescent="0.3">
      <c r="A3" s="100" t="s">
        <v>5</v>
      </c>
      <c r="B3" s="22">
        <f>B2+1</f>
        <v>2016</v>
      </c>
      <c r="C3" s="87">
        <v>4</v>
      </c>
      <c r="D3" s="49">
        <v>2.1999999999999999E-2</v>
      </c>
      <c r="E3" s="22">
        <v>10</v>
      </c>
      <c r="F3" s="42">
        <f>82.31%+17.46%</f>
        <v>0.99770000000000003</v>
      </c>
      <c r="G3" s="24">
        <v>50838704000000</v>
      </c>
      <c r="H3" s="22">
        <f>H4-1</f>
        <v>49</v>
      </c>
      <c r="I3" s="24">
        <v>2584965000</v>
      </c>
      <c r="J3" s="103">
        <v>931877364177.7417</v>
      </c>
      <c r="K3" s="109">
        <v>3.5258051568792999</v>
      </c>
      <c r="L3" s="4">
        <f>LN(Table1[[#This Row],[SIZE]])</f>
        <v>31.559679070186093</v>
      </c>
      <c r="M3" s="4">
        <f>LN(Table1[[#This Row],[POP]])</f>
        <v>21.672977805163303</v>
      </c>
      <c r="N3">
        <f>LN(Table1[[#This Row],[PDB]])</f>
        <v>27.560467059473858</v>
      </c>
    </row>
    <row r="4" spans="1:14" x14ac:dyDescent="0.3">
      <c r="A4" s="100" t="s">
        <v>5</v>
      </c>
      <c r="B4" s="22">
        <f>B3+1</f>
        <v>2017</v>
      </c>
      <c r="C4" s="87">
        <v>4</v>
      </c>
      <c r="D4" s="49">
        <v>2.1999999999999999E-2</v>
      </c>
      <c r="E4" s="22">
        <v>10</v>
      </c>
      <c r="F4" s="42">
        <f>82.51%+17.21%</f>
        <v>0.99720000000000009</v>
      </c>
      <c r="G4" s="24">
        <v>50661040000000</v>
      </c>
      <c r="H4" s="22">
        <f>H5-1</f>
        <v>50</v>
      </c>
      <c r="I4" s="24">
        <v>2613555000</v>
      </c>
      <c r="J4" s="103">
        <v>1015618742565.8127</v>
      </c>
      <c r="K4" s="109">
        <v>3.8087980695316301</v>
      </c>
      <c r="L4" s="4">
        <f>LN(Table1[[#This Row],[SIZE]])</f>
        <v>31.556178289308335</v>
      </c>
      <c r="M4" s="4">
        <f>LN(Table1[[#This Row],[POP]])</f>
        <v>21.683977200472054</v>
      </c>
      <c r="N4">
        <f>LN(Table1[[#This Row],[PDB]])</f>
        <v>27.646519141279565</v>
      </c>
    </row>
    <row r="5" spans="1:14" x14ac:dyDescent="0.3">
      <c r="A5" s="100" t="s">
        <v>5</v>
      </c>
      <c r="B5" s="22">
        <f>B4+1</f>
        <v>2018</v>
      </c>
      <c r="C5" s="87">
        <v>4</v>
      </c>
      <c r="D5" s="49">
        <v>-4.4999999999999998E-2</v>
      </c>
      <c r="E5" s="22">
        <v>10</v>
      </c>
      <c r="F5" s="42">
        <f>83.15%+15.71%</f>
        <v>0.98860000000000003</v>
      </c>
      <c r="G5" s="24">
        <v>53139587000000</v>
      </c>
      <c r="H5" s="22">
        <f>H6-1</f>
        <v>51</v>
      </c>
      <c r="I5" s="24">
        <v>2641616000</v>
      </c>
      <c r="J5" s="103">
        <v>1042271531011.9897</v>
      </c>
      <c r="K5" s="109">
        <v>3.19834641562404</v>
      </c>
      <c r="L5" s="4">
        <f>LN(Table1[[#This Row],[SIZE]])</f>
        <v>31.603943284306791</v>
      </c>
      <c r="M5" s="4">
        <f>LN(Table1[[#This Row],[POP]])</f>
        <v>21.694656688046987</v>
      </c>
      <c r="N5">
        <f>LN(Table1[[#This Row],[PDB]])</f>
        <v>27.672423611696857</v>
      </c>
    </row>
    <row r="6" spans="1:14" x14ac:dyDescent="0.3">
      <c r="A6" s="100" t="s">
        <v>5</v>
      </c>
      <c r="B6" s="22">
        <f>B5+1</f>
        <v>2019</v>
      </c>
      <c r="C6" s="87">
        <v>4</v>
      </c>
      <c r="D6" s="49">
        <v>2.5000000000000001E-2</v>
      </c>
      <c r="E6" s="22">
        <v>7</v>
      </c>
      <c r="F6" s="42">
        <f>82.12%+16.69%</f>
        <v>0.98810000000000009</v>
      </c>
      <c r="G6" s="24">
        <v>62813000000000</v>
      </c>
      <c r="H6" s="22">
        <f>H7-1</f>
        <v>52</v>
      </c>
      <c r="I6" s="24">
        <v>2669119000</v>
      </c>
      <c r="J6" s="103">
        <v>1119099868265.2468</v>
      </c>
      <c r="K6" s="109">
        <v>3.0305866496949099</v>
      </c>
      <c r="L6" s="4">
        <f>LN(Table1[[#This Row],[SIZE]])</f>
        <v>31.771183174349265</v>
      </c>
      <c r="M6" s="4">
        <f>LN(Table1[[#This Row],[POP]])</f>
        <v>21.705014292362133</v>
      </c>
      <c r="N6">
        <f>LN(Table1[[#This Row],[PDB]])</f>
        <v>27.743545789055478</v>
      </c>
    </row>
    <row r="7" spans="1:14" x14ac:dyDescent="0.3">
      <c r="A7" s="20" t="s">
        <v>5</v>
      </c>
      <c r="B7" s="22">
        <f>B6+1</f>
        <v>2020</v>
      </c>
      <c r="C7" s="87">
        <v>4</v>
      </c>
      <c r="D7" s="49">
        <v>-1.0999999999999999E-2</v>
      </c>
      <c r="E7" s="22">
        <v>10</v>
      </c>
      <c r="F7" s="42">
        <f>80.04%+17.99%</f>
        <v>0.98030000000000006</v>
      </c>
      <c r="G7" s="24">
        <v>62778740000000</v>
      </c>
      <c r="H7" s="22">
        <f>H8-1</f>
        <v>53</v>
      </c>
      <c r="I7" s="26">
        <v>2702039000</v>
      </c>
      <c r="J7" s="103">
        <v>1058688935454.7823</v>
      </c>
      <c r="K7" s="109">
        <v>1.9209680056684499</v>
      </c>
      <c r="L7" s="4">
        <f>LN(Table1[[#This Row],[SIZE]])</f>
        <v>31.770637597054936</v>
      </c>
      <c r="M7" s="4">
        <f>LN(Table1[[#This Row],[POP]])</f>
        <v>21.717272510133029</v>
      </c>
      <c r="N7">
        <f>LN(Table1[[#This Row],[PDB]])</f>
        <v>27.688052405173579</v>
      </c>
    </row>
    <row r="8" spans="1:14" s="84" customFormat="1" x14ac:dyDescent="0.3">
      <c r="A8" s="37" t="s">
        <v>5</v>
      </c>
      <c r="B8" s="27">
        <f>B7+1</f>
        <v>2021</v>
      </c>
      <c r="C8" s="88">
        <v>4</v>
      </c>
      <c r="D8" s="50">
        <v>0.106</v>
      </c>
      <c r="E8" s="27">
        <v>15</v>
      </c>
      <c r="F8" s="43">
        <f>(4349079413+977492654)/5433933500</f>
        <v>0.98024240948108765</v>
      </c>
      <c r="G8" s="28">
        <v>63397148000000</v>
      </c>
      <c r="H8" s="27">
        <v>54</v>
      </c>
      <c r="I8" s="28">
        <v>2726825000</v>
      </c>
      <c r="J8" s="104">
        <v>1186092991320.0376</v>
      </c>
      <c r="K8" s="110">
        <v>1.56012990525685</v>
      </c>
      <c r="L8" s="5">
        <f>LN(Table1[[#This Row],[SIZE]])</f>
        <v>31.780439992132777</v>
      </c>
      <c r="M8" s="5">
        <f>LN(Table1[[#This Row],[POP]])</f>
        <v>21.726403765666706</v>
      </c>
      <c r="N8" s="84">
        <f>LN(Table1[[#This Row],[PDB]])</f>
        <v>27.801685820951484</v>
      </c>
    </row>
    <row r="9" spans="1:14" s="84" customFormat="1" x14ac:dyDescent="0.3">
      <c r="A9" s="84" t="s">
        <v>11</v>
      </c>
      <c r="B9" s="27">
        <v>2019</v>
      </c>
      <c r="C9" s="88">
        <v>4</v>
      </c>
      <c r="D9" s="50">
        <v>0.125</v>
      </c>
      <c r="E9" s="27">
        <v>6</v>
      </c>
      <c r="F9" s="43">
        <f>47.91%-0.58%-0.02%</f>
        <v>0.47309999999999997</v>
      </c>
      <c r="G9" s="28">
        <v>221208000000000</v>
      </c>
      <c r="H9" s="27">
        <f>2019-1965</f>
        <v>54</v>
      </c>
      <c r="I9" s="28">
        <v>2669119000</v>
      </c>
      <c r="J9" s="104">
        <v>1119099868265.2468</v>
      </c>
      <c r="K9" s="110">
        <v>3.0305866496949099</v>
      </c>
      <c r="L9" s="5">
        <f>LN(Table1[[#This Row],[SIZE]])</f>
        <v>33.030124551288019</v>
      </c>
      <c r="M9" s="5">
        <f>LN(Table1[[#This Row],[POP]])</f>
        <v>21.705014292362133</v>
      </c>
      <c r="N9" s="84">
        <f>LN(Table1[[#This Row],[PDB]])</f>
        <v>27.743545789055478</v>
      </c>
    </row>
    <row r="10" spans="1:14" x14ac:dyDescent="0.3">
      <c r="A10" s="100" t="s">
        <v>9</v>
      </c>
      <c r="B10" s="22">
        <v>2019</v>
      </c>
      <c r="C10" s="101">
        <v>3</v>
      </c>
      <c r="D10" s="49">
        <v>5.28E-2</v>
      </c>
      <c r="E10" s="22">
        <v>3</v>
      </c>
      <c r="F10" s="42">
        <v>1</v>
      </c>
      <c r="G10" s="24">
        <v>12795938000000</v>
      </c>
      <c r="H10" s="22">
        <f>H11-1</f>
        <v>19</v>
      </c>
      <c r="I10" s="24">
        <v>2669119000</v>
      </c>
      <c r="J10" s="103">
        <v>1119099868265.2468</v>
      </c>
      <c r="K10" s="109">
        <v>3.0305866496949099</v>
      </c>
      <c r="L10" s="4">
        <f>LN(Table1[[#This Row],[SIZE]])</f>
        <v>30.180148892739936</v>
      </c>
      <c r="M10" s="4">
        <f>LN(Table1[[#This Row],[POP]])</f>
        <v>21.705014292362133</v>
      </c>
      <c r="N10">
        <f>LN(Table1[[#This Row],[PDB]])</f>
        <v>27.743545789055478</v>
      </c>
    </row>
    <row r="11" spans="1:14" x14ac:dyDescent="0.3">
      <c r="A11" s="100" t="s">
        <v>9</v>
      </c>
      <c r="B11" s="22">
        <v>2020</v>
      </c>
      <c r="C11" s="101">
        <v>3</v>
      </c>
      <c r="D11" s="49">
        <v>5.0700000000000002E-2</v>
      </c>
      <c r="E11" s="22">
        <v>3</v>
      </c>
      <c r="F11" s="42">
        <v>1</v>
      </c>
      <c r="G11" s="24">
        <v>13395523000000</v>
      </c>
      <c r="H11" s="22">
        <f>H12-1</f>
        <v>20</v>
      </c>
      <c r="I11" s="26">
        <v>2702039000</v>
      </c>
      <c r="J11" s="103">
        <v>1058688935454.7823</v>
      </c>
      <c r="K11" s="109">
        <v>1.9209680056684499</v>
      </c>
      <c r="L11" s="4">
        <f>LN(Table1[[#This Row],[SIZE]])</f>
        <v>30.225941662582468</v>
      </c>
      <c r="M11" s="4">
        <f>LN(Table1[[#This Row],[POP]])</f>
        <v>21.717272510133029</v>
      </c>
      <c r="N11">
        <f>LN(Table1[[#This Row],[PDB]])</f>
        <v>27.688052405173579</v>
      </c>
    </row>
    <row r="12" spans="1:14" s="84" customFormat="1" x14ac:dyDescent="0.3">
      <c r="A12" s="37" t="s">
        <v>9</v>
      </c>
      <c r="B12" s="27">
        <v>2021</v>
      </c>
      <c r="C12" s="88">
        <v>3</v>
      </c>
      <c r="D12" s="50">
        <v>4.6100000000000002E-2</v>
      </c>
      <c r="E12" s="27">
        <v>3</v>
      </c>
      <c r="F12" s="43">
        <v>1</v>
      </c>
      <c r="G12" s="28">
        <v>14565401000000</v>
      </c>
      <c r="H12" s="27">
        <v>21</v>
      </c>
      <c r="I12" s="28">
        <v>2726825000</v>
      </c>
      <c r="J12" s="104">
        <v>1186092991320.0376</v>
      </c>
      <c r="K12" s="110">
        <v>1.56012990525685</v>
      </c>
      <c r="L12" s="5">
        <f>LN(Table1[[#This Row],[SIZE]])</f>
        <v>30.309670037715161</v>
      </c>
      <c r="M12" s="5">
        <f>LN(Table1[[#This Row],[POP]])</f>
        <v>21.726403765666706</v>
      </c>
      <c r="N12" s="84">
        <f>LN(Table1[[#This Row],[PDB]])</f>
        <v>27.801685820951484</v>
      </c>
    </row>
    <row r="13" spans="1:14" x14ac:dyDescent="0.3">
      <c r="A13" s="30" t="s">
        <v>22</v>
      </c>
      <c r="B13" s="22">
        <v>2019</v>
      </c>
      <c r="C13" s="89">
        <v>3</v>
      </c>
      <c r="D13" s="49">
        <v>2.2100000000000002E-2</v>
      </c>
      <c r="E13" s="22">
        <v>6</v>
      </c>
      <c r="F13" s="42">
        <f>10.18%+4.51%+0.17%+5.14%+8.49%</f>
        <v>0.28490000000000004</v>
      </c>
      <c r="G13" s="24">
        <v>99679570000000</v>
      </c>
      <c r="H13" s="22">
        <f>2019-1978</f>
        <v>41</v>
      </c>
      <c r="I13" s="24">
        <v>2669119000</v>
      </c>
      <c r="J13" s="103">
        <v>1119099868265.2468</v>
      </c>
      <c r="K13" s="109">
        <v>3.0305866496949099</v>
      </c>
      <c r="L13" s="4">
        <f>LN(Table1[[#This Row],[SIZE]])</f>
        <v>32.232981857154215</v>
      </c>
      <c r="M13" s="4">
        <f>LN(Table1[[#This Row],[POP]])</f>
        <v>21.705014292362133</v>
      </c>
      <c r="N13">
        <f>LN(Table1[[#This Row],[PDB]])</f>
        <v>27.743545789055478</v>
      </c>
    </row>
    <row r="14" spans="1:14" s="84" customFormat="1" x14ac:dyDescent="0.3">
      <c r="A14" s="85" t="s">
        <v>22</v>
      </c>
      <c r="B14" s="27">
        <v>2020</v>
      </c>
      <c r="C14" s="90">
        <v>3</v>
      </c>
      <c r="D14" s="50">
        <v>4.7999999999999996E-3</v>
      </c>
      <c r="E14" s="27">
        <v>5</v>
      </c>
      <c r="F14" s="43">
        <f>8.63%+5.14%+0.01%+0.28%+4.2%+9.1%</f>
        <v>0.27359999999999995</v>
      </c>
      <c r="G14" s="28">
        <v>104086646000000</v>
      </c>
      <c r="H14" s="27">
        <f>H13+1</f>
        <v>42</v>
      </c>
      <c r="I14" s="86">
        <v>2702039000</v>
      </c>
      <c r="J14" s="104">
        <v>1058688935454.7823</v>
      </c>
      <c r="K14" s="110">
        <v>1.9209680056684499</v>
      </c>
      <c r="L14" s="5">
        <f>LN(Table1[[#This Row],[SIZE]])</f>
        <v>32.276244802821303</v>
      </c>
      <c r="M14" s="5">
        <f>LN(Table1[[#This Row],[POP]])</f>
        <v>21.717272510133029</v>
      </c>
      <c r="N14" s="84">
        <f>LN(Table1[[#This Row],[PDB]])</f>
        <v>27.688052405173579</v>
      </c>
    </row>
    <row r="15" spans="1:14" x14ac:dyDescent="0.3">
      <c r="A15" t="s">
        <v>12</v>
      </c>
      <c r="B15" s="22">
        <v>2020</v>
      </c>
      <c r="C15" s="87">
        <v>3</v>
      </c>
      <c r="D15" s="49">
        <v>4.5999999999999999E-3</v>
      </c>
      <c r="E15" s="22">
        <v>7</v>
      </c>
      <c r="F15" s="42">
        <f>9.51%+6.12%+1.14%+3.5%+7.14%+0.2%+0.06%</f>
        <v>0.2767</v>
      </c>
      <c r="G15" s="24">
        <v>68109185213000</v>
      </c>
      <c r="H15" s="22">
        <f>H16-1</f>
        <v>60</v>
      </c>
      <c r="I15" s="26">
        <v>2702039000</v>
      </c>
      <c r="J15" s="103">
        <v>1058688935454.7823</v>
      </c>
      <c r="K15" s="109">
        <v>1.9209680056684499</v>
      </c>
      <c r="L15" s="4">
        <f>LN(Table1[[#This Row],[SIZE]])</f>
        <v>31.852133198300059</v>
      </c>
      <c r="M15" s="4">
        <f>LN(Table1[[#This Row],[POP]])</f>
        <v>21.717272510133029</v>
      </c>
      <c r="N15">
        <f>LN(Table1[[#This Row],[PDB]])</f>
        <v>27.688052405173579</v>
      </c>
    </row>
    <row r="16" spans="1:14" x14ac:dyDescent="0.3">
      <c r="A16" s="31" t="s">
        <v>12</v>
      </c>
      <c r="B16" s="27">
        <v>2021</v>
      </c>
      <c r="C16" s="88">
        <v>3</v>
      </c>
      <c r="D16" s="57">
        <v>2.8E-3</v>
      </c>
      <c r="E16" s="27">
        <v>7</v>
      </c>
      <c r="F16" s="43">
        <f>6.53%+3.03%+1.56%+0.02%+1.83%+7.22%+0.32%+0.05%</f>
        <v>0.20560000000000003</v>
      </c>
      <c r="G16" s="28">
        <v>69385794346000</v>
      </c>
      <c r="H16" s="27">
        <v>61</v>
      </c>
      <c r="I16" s="28">
        <v>2726825000</v>
      </c>
      <c r="J16" s="104">
        <v>1186092991320.0376</v>
      </c>
      <c r="K16" s="110">
        <v>1.56012990525685</v>
      </c>
      <c r="L16" s="4">
        <f>LN(Table1[[#This Row],[SIZE]])</f>
        <v>31.870703270068205</v>
      </c>
      <c r="M16" s="4">
        <f>LN(Table1[[#This Row],[POP]])</f>
        <v>21.726403765666706</v>
      </c>
      <c r="N16">
        <f>LN(Table1[[#This Row],[PDB]])</f>
        <v>27.801685820951484</v>
      </c>
    </row>
    <row r="17" spans="1:14" x14ac:dyDescent="0.3">
      <c r="A17" s="33" t="s">
        <v>23</v>
      </c>
      <c r="B17" s="22">
        <v>2018</v>
      </c>
      <c r="C17" s="91">
        <v>4</v>
      </c>
      <c r="D17" s="58">
        <v>2.4500000000000001E-2</v>
      </c>
      <c r="E17" s="22">
        <v>5</v>
      </c>
      <c r="F17" s="42">
        <v>1</v>
      </c>
      <c r="G17" s="24">
        <v>62493190581375</v>
      </c>
      <c r="H17" s="22">
        <f>2018-2009</f>
        <v>9</v>
      </c>
      <c r="I17" s="24">
        <v>2641616000</v>
      </c>
      <c r="J17" s="103">
        <v>1042271531011.9897</v>
      </c>
      <c r="K17" s="109">
        <v>3.19834641562404</v>
      </c>
      <c r="L17" s="4">
        <f>LN(Table1[[#This Row],[SIZE]])</f>
        <v>31.766078716037345</v>
      </c>
      <c r="M17" s="4">
        <f>LN(Table1[[#This Row],[POP]])</f>
        <v>21.694656688046987</v>
      </c>
      <c r="N17">
        <f>LN(Table1[[#This Row],[PDB]])</f>
        <v>27.672423611696857</v>
      </c>
    </row>
    <row r="18" spans="1:14" x14ac:dyDescent="0.3">
      <c r="A18" s="33" t="s">
        <v>23</v>
      </c>
      <c r="B18" s="22">
        <v>2019</v>
      </c>
      <c r="C18" s="91">
        <v>4</v>
      </c>
      <c r="D18" s="58">
        <v>2.2499999999999999E-2</v>
      </c>
      <c r="E18" s="22">
        <v>4</v>
      </c>
      <c r="F18" s="42">
        <v>1</v>
      </c>
      <c r="G18" s="24">
        <v>75818614841004</v>
      </c>
      <c r="H18" s="22">
        <f>H17+1</f>
        <v>10</v>
      </c>
      <c r="I18" s="24">
        <v>2669119000</v>
      </c>
      <c r="J18" s="103">
        <v>1119099868265.2468</v>
      </c>
      <c r="K18" s="109">
        <v>3.0305866496949099</v>
      </c>
      <c r="L18" s="4">
        <f>LN(Table1[[#This Row],[SIZE]])</f>
        <v>31.959364956804801</v>
      </c>
      <c r="M18" s="4">
        <f>LN(Table1[[#This Row],[POP]])</f>
        <v>21.705014292362133</v>
      </c>
      <c r="N18">
        <f>LN(Table1[[#This Row],[PDB]])</f>
        <v>27.743545789055478</v>
      </c>
    </row>
    <row r="19" spans="1:14" s="84" customFormat="1" x14ac:dyDescent="0.3">
      <c r="A19" s="84" t="s">
        <v>23</v>
      </c>
      <c r="B19" s="27">
        <f>B18+1</f>
        <v>2020</v>
      </c>
      <c r="C19" s="92">
        <v>4</v>
      </c>
      <c r="D19" s="57">
        <v>1.89E-2</v>
      </c>
      <c r="E19" s="27">
        <v>5</v>
      </c>
      <c r="F19" s="43">
        <v>1</v>
      </c>
      <c r="G19" s="28">
        <v>100740244241489</v>
      </c>
      <c r="H19" s="27">
        <f>H18+1</f>
        <v>11</v>
      </c>
      <c r="I19" s="86">
        <v>2702039000</v>
      </c>
      <c r="J19" s="104">
        <v>1058688935454.7823</v>
      </c>
      <c r="K19" s="110">
        <v>1.9209680056684499</v>
      </c>
      <c r="L19" s="5">
        <f>LN(Table1[[#This Row],[SIZE]])</f>
        <v>32.2435664807169</v>
      </c>
      <c r="M19" s="5">
        <f>LN(Table1[[#This Row],[POP]])</f>
        <v>21.717272510133029</v>
      </c>
      <c r="N19" s="84">
        <f>LN(Table1[[#This Row],[PDB]])</f>
        <v>27.688052405173579</v>
      </c>
    </row>
    <row r="20" spans="1:14" x14ac:dyDescent="0.3">
      <c r="A20" s="32" t="s">
        <v>27</v>
      </c>
      <c r="B20" s="22">
        <v>2015</v>
      </c>
      <c r="C20" s="93">
        <v>3</v>
      </c>
      <c r="D20" s="61">
        <v>0.05</v>
      </c>
      <c r="E20" s="22">
        <v>10</v>
      </c>
      <c r="F20" s="42">
        <f>37.3%+18.3%+16.7%</f>
        <v>0.72300000000000009</v>
      </c>
      <c r="G20" s="25">
        <f>KONTROL!G3*KONTROL!L12</f>
        <v>193095618100800</v>
      </c>
      <c r="H20" s="22">
        <f>H21-1</f>
        <v>27</v>
      </c>
      <c r="I20" s="12">
        <v>31068833</v>
      </c>
      <c r="J20" s="105">
        <v>301354756113.17371</v>
      </c>
      <c r="K20" s="17">
        <v>2.10438980238344</v>
      </c>
      <c r="L20" s="4">
        <f>LN(Table1[[#This Row],[SIZE]])</f>
        <v>32.894206612722321</v>
      </c>
      <c r="M20" s="4">
        <f>LN(Table1[[#This Row],[POP]])</f>
        <v>17.25171572031622</v>
      </c>
      <c r="N20">
        <f>LN(Table1[[#This Row],[PDB]])</f>
        <v>26.431553999439402</v>
      </c>
    </row>
    <row r="21" spans="1:14" x14ac:dyDescent="0.3">
      <c r="A21" s="32" t="s">
        <v>27</v>
      </c>
      <c r="B21" s="22">
        <f>B20+1</f>
        <v>2016</v>
      </c>
      <c r="C21" s="93">
        <v>3</v>
      </c>
      <c r="D21" s="61">
        <v>0.01</v>
      </c>
      <c r="E21" s="22">
        <v>10</v>
      </c>
      <c r="F21" s="42">
        <f>37.3%+18.3%+16.7%</f>
        <v>0.72300000000000009</v>
      </c>
      <c r="G21" s="25">
        <f>KONTROL!G4*KONTROL!L13</f>
        <v>226593784324200</v>
      </c>
      <c r="H21" s="22">
        <f>H22-1</f>
        <v>28</v>
      </c>
      <c r="I21" s="12">
        <v>31526418</v>
      </c>
      <c r="J21" s="105">
        <v>301255454041.41455</v>
      </c>
      <c r="K21" s="17">
        <v>2.0905665952574499</v>
      </c>
      <c r="L21" s="4">
        <f>LN(Table1[[#This Row],[SIZE]])</f>
        <v>33.054180033979428</v>
      </c>
      <c r="M21" s="4">
        <f>LN(Table1[[#This Row],[POP]])</f>
        <v>17.266336418978145</v>
      </c>
      <c r="N21">
        <f>LN(Table1[[#This Row],[PDB]])</f>
        <v>26.43122442628918</v>
      </c>
    </row>
    <row r="22" spans="1:14" x14ac:dyDescent="0.3">
      <c r="A22" s="32" t="s">
        <v>27</v>
      </c>
      <c r="B22" s="22">
        <f>B21+1</f>
        <v>2017</v>
      </c>
      <c r="C22" s="93">
        <v>3</v>
      </c>
      <c r="D22" s="49">
        <v>1.7000000000000001E-2</v>
      </c>
      <c r="E22" s="22">
        <v>10</v>
      </c>
      <c r="F22" s="42">
        <f>37.3%+18.3%+16.7%</f>
        <v>0.72300000000000009</v>
      </c>
      <c r="G22" s="25">
        <f>KONTROL!G5*KONTROL!L14</f>
        <v>217731132999500</v>
      </c>
      <c r="H22" s="22">
        <f>H23-1</f>
        <v>29</v>
      </c>
      <c r="I22" s="12">
        <v>31975806</v>
      </c>
      <c r="J22" s="105">
        <v>319112175611.57104</v>
      </c>
      <c r="K22" s="17">
        <v>3.8712011577424001</v>
      </c>
      <c r="L22" s="4">
        <f>LN(Table1[[#This Row],[SIZE]])</f>
        <v>33.014282082669588</v>
      </c>
      <c r="M22" s="4">
        <f>LN(Table1[[#This Row],[POP]])</f>
        <v>17.280490112304605</v>
      </c>
      <c r="N22">
        <f>LN(Table1[[#This Row],[PDB]])</f>
        <v>26.488808525602874</v>
      </c>
    </row>
    <row r="23" spans="1:14" x14ac:dyDescent="0.3">
      <c r="A23" s="32" t="s">
        <v>27</v>
      </c>
      <c r="B23" s="22">
        <f>B22+1</f>
        <v>2018</v>
      </c>
      <c r="C23" s="93">
        <v>3</v>
      </c>
      <c r="D23" s="49">
        <v>-7.3999999999999996E-2</v>
      </c>
      <c r="E23" s="22">
        <v>10</v>
      </c>
      <c r="F23" s="42">
        <f>37.16%+18.42%+16.16%</f>
        <v>0.71740000000000004</v>
      </c>
      <c r="G23" s="25">
        <f>KONTROL!G6*KONTROL!L15</f>
        <v>224117474427000</v>
      </c>
      <c r="H23" s="22">
        <f>H24-1</f>
        <v>30</v>
      </c>
      <c r="I23" s="12">
        <v>32399271</v>
      </c>
      <c r="J23" s="105">
        <v>358791603677.72797</v>
      </c>
      <c r="K23" s="17">
        <v>0.88470916057124405</v>
      </c>
      <c r="L23" s="4">
        <f>LN(Table1[[#This Row],[SIZE]])</f>
        <v>33.043191469719552</v>
      </c>
      <c r="M23" s="4">
        <f>LN(Table1[[#This Row],[POP]])</f>
        <v>17.29364648050943</v>
      </c>
      <c r="N23">
        <f>LN(Table1[[#This Row],[PDB]])</f>
        <v>26.606007565736082</v>
      </c>
    </row>
    <row r="24" spans="1:14" x14ac:dyDescent="0.3">
      <c r="A24" s="32" t="s">
        <v>27</v>
      </c>
      <c r="B24" s="22">
        <f>B23+1</f>
        <v>2019</v>
      </c>
      <c r="C24" s="93">
        <v>3</v>
      </c>
      <c r="D24" s="49">
        <v>2.8000000000000001E-2</v>
      </c>
      <c r="E24" s="22">
        <v>10</v>
      </c>
      <c r="F24" s="42">
        <f>36.79%+18.7%+16.63%</f>
        <v>0.72119999999999995</v>
      </c>
      <c r="G24" s="25">
        <f>KONTROL!G7*KONTROL!L16</f>
        <v>227106975958200</v>
      </c>
      <c r="H24" s="22">
        <f>H25-1</f>
        <v>31</v>
      </c>
      <c r="I24" s="12">
        <v>32804020</v>
      </c>
      <c r="J24" s="105">
        <v>365175135787.56787</v>
      </c>
      <c r="K24" s="17">
        <v>0.66289186576437598</v>
      </c>
      <c r="L24" s="4">
        <f>LN(Table1[[#This Row],[SIZE]])</f>
        <v>33.056442282129716</v>
      </c>
      <c r="M24" s="4">
        <f>LN(Table1[[#This Row],[POP]])</f>
        <v>17.30606162682</v>
      </c>
      <c r="N24">
        <f>LN(Table1[[#This Row],[PDB]])</f>
        <v>26.62364289952567</v>
      </c>
    </row>
    <row r="25" spans="1:14" x14ac:dyDescent="0.3">
      <c r="A25" s="32" t="s">
        <v>27</v>
      </c>
      <c r="B25" s="22">
        <f>B24+1</f>
        <v>2020</v>
      </c>
      <c r="C25" s="93">
        <v>3</v>
      </c>
      <c r="D25" s="49">
        <v>8.9999999999999993E-3</v>
      </c>
      <c r="E25" s="22">
        <v>10</v>
      </c>
      <c r="F25" s="42">
        <f>36.75%+18.77%+17.17%</f>
        <v>0.7269000000000001</v>
      </c>
      <c r="G25" s="25">
        <f>KONTROL!G8*KONTROL!L17</f>
        <v>235064552949000</v>
      </c>
      <c r="H25" s="22">
        <f>H26-1</f>
        <v>32</v>
      </c>
      <c r="I25" s="12">
        <v>33199993</v>
      </c>
      <c r="J25" s="105">
        <v>337337932675.15167</v>
      </c>
      <c r="K25" s="17">
        <v>-1.13870215393056</v>
      </c>
      <c r="L25" s="4">
        <f>LN(Table1[[#This Row],[SIZE]])</f>
        <v>33.090881285751379</v>
      </c>
      <c r="M25" s="4">
        <f>LN(Table1[[#This Row],[POP]])</f>
        <v>17.318060223043322</v>
      </c>
      <c r="N25">
        <f>LN(Table1[[#This Row],[PDB]])</f>
        <v>26.54435103244527</v>
      </c>
    </row>
    <row r="26" spans="1:14" x14ac:dyDescent="0.3">
      <c r="A26" s="36" t="s">
        <v>27</v>
      </c>
      <c r="B26" s="27">
        <f>B25+1</f>
        <v>2021</v>
      </c>
      <c r="C26" s="94">
        <v>3</v>
      </c>
      <c r="D26" s="50">
        <v>1.7999999999999999E-2</v>
      </c>
      <c r="E26" s="27">
        <v>10</v>
      </c>
      <c r="F26" s="43">
        <f>36.74%+18.39%+17.03%</f>
        <v>0.72160000000000002</v>
      </c>
      <c r="G26" s="29">
        <f>KONTROL!G9*KONTROL!L18</f>
        <v>250504681035000</v>
      </c>
      <c r="H26" s="27">
        <v>33</v>
      </c>
      <c r="I26" s="13">
        <v>33573874</v>
      </c>
      <c r="J26" s="106">
        <v>372980957208.02258</v>
      </c>
      <c r="K26" s="18">
        <v>2.47710241465444</v>
      </c>
      <c r="L26" s="4">
        <f>LN(Table1[[#This Row],[SIZE]])</f>
        <v>33.154498723045336</v>
      </c>
      <c r="M26" s="4">
        <f>LN(Table1[[#This Row],[POP]])</f>
        <v>17.329258762953422</v>
      </c>
      <c r="N26">
        <f>LN(Table1[[#This Row],[PDB]])</f>
        <v>26.644793202225372</v>
      </c>
    </row>
    <row r="27" spans="1:14" x14ac:dyDescent="0.3">
      <c r="A27" s="33" t="s">
        <v>10</v>
      </c>
      <c r="B27" s="22">
        <v>2017</v>
      </c>
      <c r="C27" s="93">
        <v>3</v>
      </c>
      <c r="D27" s="49">
        <v>4.9000000000000002E-2</v>
      </c>
      <c r="E27" s="22">
        <v>10</v>
      </c>
      <c r="F27" s="42">
        <v>0.31879999999999997</v>
      </c>
      <c r="G27" s="25">
        <f>KONTROL!J5*KONTROL!J14</f>
        <v>172470001216876.81</v>
      </c>
      <c r="H27" s="22">
        <v>24</v>
      </c>
      <c r="I27" s="12">
        <v>31975806</v>
      </c>
      <c r="J27" s="105">
        <v>319112175611.57104</v>
      </c>
      <c r="K27" s="17">
        <v>3.8712011577424001</v>
      </c>
      <c r="L27" s="4">
        <f>LN(Table1[[#This Row],[SIZE]])</f>
        <v>32.78124443128744</v>
      </c>
      <c r="M27" s="4">
        <f>LN(Table1[[#This Row],[POP]])</f>
        <v>17.280490112304605</v>
      </c>
      <c r="N27">
        <f>LN(Table1[[#This Row],[PDB]])</f>
        <v>26.488808525602874</v>
      </c>
    </row>
    <row r="28" spans="1:14" x14ac:dyDescent="0.3">
      <c r="A28" s="33" t="s">
        <v>10</v>
      </c>
      <c r="B28" s="22">
        <f>B27+1</f>
        <v>2018</v>
      </c>
      <c r="C28" s="93">
        <v>3</v>
      </c>
      <c r="D28" s="49">
        <v>4.5999999999999999E-2</v>
      </c>
      <c r="E28" s="22">
        <v>10</v>
      </c>
      <c r="F28" s="42">
        <v>0.31879999999999997</v>
      </c>
      <c r="G28" s="25">
        <f>KONTROL!J6*KONTROL!J15</f>
        <v>228451593931438.78</v>
      </c>
      <c r="H28" s="22">
        <f>H27+1</f>
        <v>25</v>
      </c>
      <c r="I28" s="12">
        <v>32399271</v>
      </c>
      <c r="J28" s="105">
        <v>358791603677.72797</v>
      </c>
      <c r="K28" s="17">
        <v>0.88470916057124405</v>
      </c>
      <c r="L28" s="4">
        <f>LN(Table1[[#This Row],[SIZE]])</f>
        <v>33.062345461070144</v>
      </c>
      <c r="M28" s="4">
        <f>LN(Table1[[#This Row],[POP]])</f>
        <v>17.29364648050943</v>
      </c>
      <c r="N28">
        <f>LN(Table1[[#This Row],[PDB]])</f>
        <v>26.606007565736082</v>
      </c>
    </row>
    <row r="29" spans="1:14" x14ac:dyDescent="0.3">
      <c r="A29" s="33" t="s">
        <v>10</v>
      </c>
      <c r="B29" s="22">
        <f>B28+1</f>
        <v>2019</v>
      </c>
      <c r="C29" s="93">
        <v>3</v>
      </c>
      <c r="D29" s="49">
        <v>4.2000000000000003E-2</v>
      </c>
      <c r="E29" s="22">
        <v>9</v>
      </c>
      <c r="F29" s="42">
        <f>31.88%+35%</f>
        <v>0.66879999999999995</v>
      </c>
      <c r="G29" s="25">
        <f>KONTROL!J7*KONTROL!J16</f>
        <v>272731450743518.19</v>
      </c>
      <c r="H29" s="22">
        <f>H28+1</f>
        <v>26</v>
      </c>
      <c r="I29" s="12">
        <v>32804020</v>
      </c>
      <c r="J29" s="105">
        <v>365175135787.56787</v>
      </c>
      <c r="K29" s="17">
        <v>0.66289186576437598</v>
      </c>
      <c r="L29" s="4">
        <f>LN(Table1[[#This Row],[SIZE]])</f>
        <v>33.239508730055981</v>
      </c>
      <c r="M29" s="4">
        <f>LN(Table1[[#This Row],[POP]])</f>
        <v>17.30606162682</v>
      </c>
      <c r="N29">
        <f>LN(Table1[[#This Row],[PDB]])</f>
        <v>26.62364289952567</v>
      </c>
    </row>
    <row r="30" spans="1:14" x14ac:dyDescent="0.3">
      <c r="A30" s="33" t="s">
        <v>10</v>
      </c>
      <c r="B30" s="22">
        <f>B29+1</f>
        <v>2020</v>
      </c>
      <c r="C30" s="93">
        <v>3</v>
      </c>
      <c r="D30" s="49">
        <v>3.2000000000000001E-2</v>
      </c>
      <c r="E30" s="22">
        <v>9</v>
      </c>
      <c r="F30" s="42">
        <f>31.88%+28.04%</f>
        <v>0.59919999999999995</v>
      </c>
      <c r="G30" s="25">
        <f>KONTROL!J8*KONTROL!J17</f>
        <v>326803005555266.44</v>
      </c>
      <c r="H30" s="22">
        <f>H29+1</f>
        <v>27</v>
      </c>
      <c r="I30" s="12">
        <v>33199993</v>
      </c>
      <c r="J30" s="105">
        <v>337337932675.15167</v>
      </c>
      <c r="K30" s="17">
        <v>-1.13870215393056</v>
      </c>
      <c r="L30" s="4">
        <f>LN(Table1[[#This Row],[SIZE]])</f>
        <v>33.420378675797643</v>
      </c>
      <c r="M30" s="4">
        <f>LN(Table1[[#This Row],[POP]])</f>
        <v>17.318060223043322</v>
      </c>
      <c r="N30">
        <f>LN(Table1[[#This Row],[PDB]])</f>
        <v>26.54435103244527</v>
      </c>
    </row>
    <row r="31" spans="1:14" s="84" customFormat="1" x14ac:dyDescent="0.3">
      <c r="A31" s="31" t="s">
        <v>10</v>
      </c>
      <c r="B31" s="27">
        <f>B30+1</f>
        <v>2021</v>
      </c>
      <c r="C31" s="95">
        <v>3</v>
      </c>
      <c r="D31" s="50">
        <v>3.1E-2</v>
      </c>
      <c r="E31" s="27">
        <v>9</v>
      </c>
      <c r="F31" s="43">
        <f>31.88%+28.04%</f>
        <v>0.59919999999999995</v>
      </c>
      <c r="G31" s="29">
        <f>KONTROL!J9*KONTROL!J18</f>
        <v>338018004469901.19</v>
      </c>
      <c r="H31" s="27">
        <f>H30+1</f>
        <v>28</v>
      </c>
      <c r="I31" s="13">
        <v>33573874</v>
      </c>
      <c r="J31" s="106">
        <v>372980957208.02258</v>
      </c>
      <c r="K31" s="18">
        <v>2.47710241465444</v>
      </c>
      <c r="L31" s="5">
        <f>LN(Table1[[#This Row],[SIZE]])</f>
        <v>33.454120277655328</v>
      </c>
      <c r="M31" s="5">
        <f>LN(Table1[[#This Row],[POP]])</f>
        <v>17.329258762953422</v>
      </c>
      <c r="N31" s="84">
        <f>LN(Table1[[#This Row],[PDB]])</f>
        <v>26.644793202225372</v>
      </c>
    </row>
    <row r="32" spans="1:14" x14ac:dyDescent="0.3">
      <c r="A32" s="33" t="s">
        <v>21</v>
      </c>
      <c r="B32" s="22">
        <v>2015</v>
      </c>
      <c r="C32" s="96">
        <v>3</v>
      </c>
      <c r="D32" s="63">
        <v>3.5000000000000003E-2</v>
      </c>
      <c r="E32" s="4">
        <v>6</v>
      </c>
      <c r="F32" s="45">
        <f>26.297%+9.948%+9.444%+0.323%</f>
        <v>0.46012000000000003</v>
      </c>
      <c r="G32" s="12">
        <f>KONTROL!G3*KONTROL!H12</f>
        <v>4101048495262.0659</v>
      </c>
      <c r="H32" s="33">
        <v>17</v>
      </c>
      <c r="I32" s="12">
        <v>31068833</v>
      </c>
      <c r="J32" s="105">
        <v>301354756113.17371</v>
      </c>
      <c r="K32" s="17">
        <v>2.10438980238344</v>
      </c>
      <c r="L32" s="4">
        <f>LN(Table1[[#This Row],[SIZE]])</f>
        <v>29.042263787497049</v>
      </c>
      <c r="M32" s="4">
        <f>LN(Table1[[#This Row],[POP]])</f>
        <v>17.25171572031622</v>
      </c>
      <c r="N32">
        <f>LN(Table1[[#This Row],[PDB]])</f>
        <v>26.431553999439402</v>
      </c>
    </row>
    <row r="33" spans="1:14" x14ac:dyDescent="0.3">
      <c r="A33" s="33" t="s">
        <v>21</v>
      </c>
      <c r="B33" s="22">
        <f>B32+1</f>
        <v>2016</v>
      </c>
      <c r="C33" s="96">
        <v>2</v>
      </c>
      <c r="D33" s="63">
        <v>-0.13300000000000001</v>
      </c>
      <c r="E33" s="4">
        <v>6</v>
      </c>
      <c r="F33" s="45">
        <f>26.297%+9.948%+9.444%+0.54%</f>
        <v>0.46229000000000003</v>
      </c>
      <c r="G33" s="12">
        <f>KONTROL!G4*KONTROL!H13</f>
        <v>3077554384575.498</v>
      </c>
      <c r="H33" s="33">
        <v>18</v>
      </c>
      <c r="I33" s="12">
        <v>31526418</v>
      </c>
      <c r="J33" s="105">
        <v>301255454041.41455</v>
      </c>
      <c r="K33" s="17">
        <v>2.0905665952574499</v>
      </c>
      <c r="L33" s="4">
        <f>LN(Table1[[#This Row],[SIZE]])</f>
        <v>28.755156366522474</v>
      </c>
      <c r="M33" s="4">
        <f>LN(Table1[[#This Row],[POP]])</f>
        <v>17.266336418978145</v>
      </c>
      <c r="N33">
        <f>LN(Table1[[#This Row],[PDB]])</f>
        <v>26.43122442628918</v>
      </c>
    </row>
    <row r="34" spans="1:14" x14ac:dyDescent="0.3">
      <c r="A34" s="33" t="s">
        <v>21</v>
      </c>
      <c r="B34" s="22">
        <f>B33+1</f>
        <v>2017</v>
      </c>
      <c r="C34" s="96">
        <v>1</v>
      </c>
      <c r="D34" s="63">
        <v>-0.159</v>
      </c>
      <c r="E34" s="4">
        <v>6</v>
      </c>
      <c r="F34" s="45">
        <f>26.297%+9.948%+9.444%+0.54%+0.283%+0.194%</f>
        <v>0.46706000000000003</v>
      </c>
      <c r="G34" s="12">
        <f>KONTROL!G5*KONTROL!H14</f>
        <v>2712303943670.1016</v>
      </c>
      <c r="H34" s="33">
        <v>19</v>
      </c>
      <c r="I34" s="12">
        <v>31975806</v>
      </c>
      <c r="J34" s="105">
        <v>319112175611.57104</v>
      </c>
      <c r="K34" s="17">
        <v>3.8712011577424001</v>
      </c>
      <c r="L34" s="4">
        <f>LN(Table1[[#This Row],[SIZE]])</f>
        <v>28.628819553351587</v>
      </c>
      <c r="M34" s="4">
        <f>LN(Table1[[#This Row],[POP]])</f>
        <v>17.280490112304605</v>
      </c>
      <c r="N34">
        <f>LN(Table1[[#This Row],[PDB]])</f>
        <v>26.488808525602874</v>
      </c>
    </row>
    <row r="35" spans="1:14" s="84" customFormat="1" x14ac:dyDescent="0.3">
      <c r="A35" s="84" t="s">
        <v>21</v>
      </c>
      <c r="B35" s="27">
        <v>2019</v>
      </c>
      <c r="C35" s="98">
        <v>1</v>
      </c>
      <c r="D35" s="64">
        <v>-0.126</v>
      </c>
      <c r="E35" s="5">
        <v>6</v>
      </c>
      <c r="F35" s="46">
        <v>0.29199999999999998</v>
      </c>
      <c r="G35" s="13">
        <f>KONTROL!G7*KONTROL!H16</f>
        <v>2215398393107.0957</v>
      </c>
      <c r="H35" s="84">
        <v>21</v>
      </c>
      <c r="I35" s="13">
        <v>32804020</v>
      </c>
      <c r="J35" s="106">
        <v>365175135787.56787</v>
      </c>
      <c r="K35" s="18">
        <v>0.66289186576437598</v>
      </c>
      <c r="L35" s="5">
        <f>LN(Table1[[#This Row],[SIZE]])</f>
        <v>28.426453364700414</v>
      </c>
      <c r="M35" s="5">
        <f>LN(Table1[[#This Row],[POP]])</f>
        <v>17.30606162682</v>
      </c>
      <c r="N35" s="84">
        <f>LN(Table1[[#This Row],[PDB]])</f>
        <v>26.62364289952567</v>
      </c>
    </row>
    <row r="36" spans="1:14" x14ac:dyDescent="0.3">
      <c r="A36" s="33" t="s">
        <v>15</v>
      </c>
      <c r="B36" s="22">
        <v>2020</v>
      </c>
      <c r="C36" s="96">
        <v>3</v>
      </c>
      <c r="D36" s="63">
        <v>-2.5000000000000001E-2</v>
      </c>
      <c r="E36" s="4">
        <v>10</v>
      </c>
      <c r="F36" s="45">
        <f>34.28%+7.18%+1.12%+0.57%</f>
        <v>0.43149999999999994</v>
      </c>
      <c r="G36" s="8">
        <f>KONTROL!G8*KONTROL!F17</f>
        <v>15585974517777.002</v>
      </c>
      <c r="H36" s="33">
        <v>38</v>
      </c>
      <c r="I36" s="12">
        <v>33199993</v>
      </c>
      <c r="J36" s="105">
        <v>337337932675.15167</v>
      </c>
      <c r="K36" s="17">
        <v>-1.13870215393056</v>
      </c>
      <c r="L36" s="4">
        <f>LN(Table1[[#This Row],[SIZE]])</f>
        <v>30.377392556405493</v>
      </c>
      <c r="M36" s="4">
        <f>LN(Table1[[#This Row],[POP]])</f>
        <v>17.318060223043322</v>
      </c>
      <c r="N36">
        <f>LN(Table1[[#This Row],[PDB]])</f>
        <v>26.54435103244527</v>
      </c>
    </row>
    <row r="37" spans="1:14" x14ac:dyDescent="0.3">
      <c r="A37" s="31" t="s">
        <v>15</v>
      </c>
      <c r="B37" s="27">
        <v>2021</v>
      </c>
      <c r="C37" s="97">
        <v>3</v>
      </c>
      <c r="D37" s="64">
        <v>-1.7000000000000001E-2</v>
      </c>
      <c r="E37" s="5">
        <v>8</v>
      </c>
      <c r="F37" s="46">
        <f>34.38%+7.2%+0.64%</f>
        <v>0.42220000000000008</v>
      </c>
      <c r="G37" s="8">
        <f>KONTROL!G9*KONTROL!F18</f>
        <v>15064650587737.801</v>
      </c>
      <c r="H37" s="5">
        <v>39</v>
      </c>
      <c r="I37" s="13">
        <v>33573874</v>
      </c>
      <c r="J37" s="106">
        <v>372980957208.02258</v>
      </c>
      <c r="K37" s="18">
        <v>2.47710241465444</v>
      </c>
      <c r="L37" s="4">
        <f>LN(Table1[[#This Row],[SIZE]])</f>
        <v>30.343372094596816</v>
      </c>
      <c r="M37" s="4">
        <f>LN(Table1[[#This Row],[POP]])</f>
        <v>17.329258762953422</v>
      </c>
      <c r="N37">
        <f>LN(Table1[[#This Row],[PDB]])</f>
        <v>26.644793202225372</v>
      </c>
    </row>
    <row r="38" spans="1:14" x14ac:dyDescent="0.3">
      <c r="A38" s="33" t="s">
        <v>20</v>
      </c>
      <c r="B38" s="22">
        <v>2016</v>
      </c>
      <c r="C38" s="96">
        <v>4</v>
      </c>
      <c r="D38" s="63">
        <v>7.5999999999999998E-2</v>
      </c>
      <c r="E38" s="4">
        <v>8</v>
      </c>
      <c r="F38" s="45">
        <f>18.5%+14.8%+7.48%+0.96%+0.27%+0.25%+0.19%</f>
        <v>0.42450000000000004</v>
      </c>
      <c r="G38" s="8">
        <f>KONTROL!G4*KONTROL!F22</f>
        <v>7153817377684.7998</v>
      </c>
      <c r="H38" s="33">
        <v>24</v>
      </c>
      <c r="I38" s="12">
        <v>31526418</v>
      </c>
      <c r="J38" s="105">
        <v>301255454041.41455</v>
      </c>
      <c r="K38" s="17">
        <v>2.0905665952574499</v>
      </c>
      <c r="L38" s="4">
        <f>LN(Table1[[#This Row],[SIZE]])</f>
        <v>29.598667229138009</v>
      </c>
      <c r="M38" s="4">
        <f>LN(Table1[[#This Row],[POP]])</f>
        <v>17.266336418978145</v>
      </c>
      <c r="N38">
        <f>LN(Table1[[#This Row],[PDB]])</f>
        <v>26.43122442628918</v>
      </c>
    </row>
    <row r="39" spans="1:14" x14ac:dyDescent="0.3">
      <c r="A39" s="33" t="s">
        <v>20</v>
      </c>
      <c r="B39" s="22">
        <f>B38+1</f>
        <v>2017</v>
      </c>
      <c r="C39" s="96">
        <v>4</v>
      </c>
      <c r="D39" s="63">
        <v>7.0999999999999994E-2</v>
      </c>
      <c r="E39" s="4">
        <v>8</v>
      </c>
      <c r="F39" s="45">
        <f>0.39%+18.5%+14.8%+7.97%+1.25%+0.19%</f>
        <v>0.43099999999999999</v>
      </c>
      <c r="G39" s="8">
        <f>KONTROL!G5*KONTROL!F23</f>
        <v>7178509279421</v>
      </c>
      <c r="H39" s="33">
        <f>H38+1</f>
        <v>25</v>
      </c>
      <c r="I39" s="12">
        <v>31975806</v>
      </c>
      <c r="J39" s="105">
        <v>319112175611.57104</v>
      </c>
      <c r="K39" s="17">
        <v>3.8712011577424001</v>
      </c>
      <c r="L39" s="4">
        <f>LN(Table1[[#This Row],[SIZE]])</f>
        <v>29.602112856181847</v>
      </c>
      <c r="M39" s="4">
        <f>LN(Table1[[#This Row],[POP]])</f>
        <v>17.280490112304605</v>
      </c>
      <c r="N39">
        <f>LN(Table1[[#This Row],[PDB]])</f>
        <v>26.488808525602874</v>
      </c>
    </row>
    <row r="40" spans="1:14" x14ac:dyDescent="0.3">
      <c r="A40" s="33" t="s">
        <v>20</v>
      </c>
      <c r="B40" s="22">
        <f>B39+1</f>
        <v>2018</v>
      </c>
      <c r="C40" s="96">
        <v>4</v>
      </c>
      <c r="D40" s="63">
        <v>7.4999999999999997E-2</v>
      </c>
      <c r="E40" s="4">
        <v>11</v>
      </c>
      <c r="F40" s="45">
        <f>30.93%+18.5%+14.8%+1.27%+0.25%+0.39%+0.19%</f>
        <v>0.66330000000000011</v>
      </c>
      <c r="G40" s="8">
        <f>KONTROL!G6*KONTROL!F24</f>
        <v>8846608670219.5996</v>
      </c>
      <c r="H40">
        <f>H39+1</f>
        <v>26</v>
      </c>
      <c r="I40" s="12">
        <v>32399271</v>
      </c>
      <c r="J40" s="105">
        <v>358791603677.72797</v>
      </c>
      <c r="K40" s="17">
        <v>0.88470916057124405</v>
      </c>
      <c r="L40" s="4">
        <f>LN(Table1[[#This Row],[SIZE]])</f>
        <v>29.811055300402952</v>
      </c>
      <c r="M40" s="4">
        <f>LN(Table1[[#This Row],[POP]])</f>
        <v>17.29364648050943</v>
      </c>
      <c r="N40">
        <f>LN(Table1[[#This Row],[PDB]])</f>
        <v>26.606007565736082</v>
      </c>
    </row>
    <row r="41" spans="1:14" x14ac:dyDescent="0.3">
      <c r="A41" s="33" t="s">
        <v>20</v>
      </c>
      <c r="B41" s="22">
        <f>B40+1</f>
        <v>2019</v>
      </c>
      <c r="C41" s="96">
        <v>4</v>
      </c>
      <c r="D41" s="63">
        <v>7.3999999999999996E-2</v>
      </c>
      <c r="E41" s="4">
        <v>8</v>
      </c>
      <c r="F41" s="45">
        <f>30.93%+18.5%+14.8%+7.74%+0.93%</f>
        <v>0.72900000000000009</v>
      </c>
      <c r="G41" s="8">
        <f>KONTROL!G7*KONTROL!F25</f>
        <v>8950146178027.2012</v>
      </c>
      <c r="H41" s="33">
        <f>H40+1</f>
        <v>27</v>
      </c>
      <c r="I41" s="12">
        <v>32804020</v>
      </c>
      <c r="J41" s="105">
        <v>365175135787.56787</v>
      </c>
      <c r="K41" s="17">
        <v>0.66289186576437598</v>
      </c>
      <c r="L41" s="4">
        <f>LN(Table1[[#This Row],[SIZE]])</f>
        <v>29.822690980822404</v>
      </c>
      <c r="M41" s="4">
        <f>LN(Table1[[#This Row],[POP]])</f>
        <v>17.30606162682</v>
      </c>
      <c r="N41">
        <f>LN(Table1[[#This Row],[PDB]])</f>
        <v>26.62364289952567</v>
      </c>
    </row>
    <row r="42" spans="1:14" s="84" customFormat="1" x14ac:dyDescent="0.3">
      <c r="A42" s="84" t="s">
        <v>20</v>
      </c>
      <c r="B42" s="27">
        <f>B41+1</f>
        <v>2020</v>
      </c>
      <c r="C42" s="98">
        <v>4</v>
      </c>
      <c r="D42" s="64">
        <v>8.1000000000000003E-2</v>
      </c>
      <c r="E42" s="5">
        <v>8</v>
      </c>
      <c r="F42" s="46">
        <f>30.93%+18.5%+14.8%+7.74%+1.38%+1.07%+0.34%</f>
        <v>0.74760000000000015</v>
      </c>
      <c r="G42" s="10">
        <f>KONTROL!G8*KONTROL!F26</f>
        <v>9190086003373.5</v>
      </c>
      <c r="H42" s="84">
        <f>H41+1</f>
        <v>28</v>
      </c>
      <c r="I42" s="13">
        <v>33199993</v>
      </c>
      <c r="J42" s="106">
        <v>337337932675.15167</v>
      </c>
      <c r="K42" s="18">
        <v>-1.13870215393056</v>
      </c>
      <c r="L42" s="5">
        <f>LN(Table1[[#This Row],[SIZE]])</f>
        <v>29.849146410617262</v>
      </c>
      <c r="M42" s="5">
        <f>LN(Table1[[#This Row],[POP]])</f>
        <v>17.318060223043322</v>
      </c>
      <c r="N42" s="84">
        <f>LN(Table1[[#This Row],[PDB]])</f>
        <v>26.54435103244527</v>
      </c>
    </row>
    <row r="43" spans="1:14" x14ac:dyDescent="0.3">
      <c r="A43" s="36" t="s">
        <v>18</v>
      </c>
      <c r="B43" s="27">
        <v>2021</v>
      </c>
      <c r="C43" s="97">
        <v>3</v>
      </c>
      <c r="D43" s="64">
        <v>5.7000000000000002E-2</v>
      </c>
      <c r="E43" s="5">
        <v>6</v>
      </c>
      <c r="F43" s="46">
        <f>15.11%+3.53%+4.51%</f>
        <v>0.23149999999999998</v>
      </c>
      <c r="G43" s="8">
        <f>KONTROL!G9*KONTROL!H27</f>
        <v>2929720438604.3999</v>
      </c>
      <c r="H43" s="5">
        <v>85</v>
      </c>
      <c r="I43" s="13">
        <v>33573874</v>
      </c>
      <c r="J43" s="106">
        <v>372980957208.02258</v>
      </c>
      <c r="K43" s="18">
        <v>2.47710241465444</v>
      </c>
      <c r="L43" s="4">
        <f>LN(Table1[[#This Row],[SIZE]])</f>
        <v>28.705928120959776</v>
      </c>
      <c r="M43" s="4">
        <f>LN(Table1[[#This Row],[POP]])</f>
        <v>17.329258762953422</v>
      </c>
      <c r="N43">
        <f>LN(Table1[[#This Row],[PDB]])</f>
        <v>26.644793202225372</v>
      </c>
    </row>
    <row r="44" spans="1:14" x14ac:dyDescent="0.3">
      <c r="A44" s="99" t="s">
        <v>24</v>
      </c>
      <c r="B44" s="22">
        <v>2015</v>
      </c>
      <c r="C44" s="96">
        <v>3</v>
      </c>
      <c r="D44" s="62">
        <v>6.6000000000000003E-2</v>
      </c>
      <c r="E44" s="6">
        <v>10</v>
      </c>
      <c r="F44" s="44">
        <f>20.73%+0.02%+30.01%+0.12%+0.24%</f>
        <v>0.51119999999999999</v>
      </c>
      <c r="G44" s="7">
        <f>KONTROL!G3*KONTROL!J21</f>
        <v>163328172686640</v>
      </c>
      <c r="H44">
        <f>2015-1990</f>
        <v>25</v>
      </c>
      <c r="I44" s="11">
        <v>31068833</v>
      </c>
      <c r="J44" s="107">
        <v>301354756113.17371</v>
      </c>
      <c r="K44" s="16">
        <v>2.10438980238344</v>
      </c>
      <c r="L44" s="4">
        <f>LN(Table1[[#This Row],[SIZE]])</f>
        <v>32.726782622069869</v>
      </c>
      <c r="M44" s="4">
        <f>LN(Table1[[#This Row],[POP]])</f>
        <v>17.25171572031622</v>
      </c>
      <c r="N44">
        <f>LN(Table1[[#This Row],[PDB]])</f>
        <v>26.431553999439402</v>
      </c>
    </row>
    <row r="45" spans="1:14" x14ac:dyDescent="0.3">
      <c r="A45" s="99" t="s">
        <v>24</v>
      </c>
      <c r="B45" s="22">
        <f>B44+1</f>
        <v>2016</v>
      </c>
      <c r="C45" s="96">
        <v>3</v>
      </c>
      <c r="D45" s="63">
        <v>6.4000000000000001E-2</v>
      </c>
      <c r="E45" s="4">
        <v>12</v>
      </c>
      <c r="F45" s="45">
        <f>17.09%+28.67%+0.13%+0.21%</f>
        <v>0.46100000000000002</v>
      </c>
      <c r="G45" s="8">
        <f>KONTROL!G4*KONTROL!J22</f>
        <v>427227119735160</v>
      </c>
      <c r="H45">
        <f>H44+1</f>
        <v>26</v>
      </c>
      <c r="I45" s="12">
        <v>31526418</v>
      </c>
      <c r="J45" s="105">
        <v>301255454041.41455</v>
      </c>
      <c r="K45" s="17">
        <v>2.0905665952574499</v>
      </c>
      <c r="L45" s="4">
        <f>LN(Table1[[#This Row],[SIZE]])</f>
        <v>33.688336884085729</v>
      </c>
      <c r="M45" s="4">
        <f>LN(Table1[[#This Row],[POP]])</f>
        <v>17.266336418978145</v>
      </c>
      <c r="N45">
        <f>LN(Table1[[#This Row],[PDB]])</f>
        <v>26.43122442628918</v>
      </c>
    </row>
    <row r="46" spans="1:14" x14ac:dyDescent="0.3">
      <c r="A46" s="99" t="s">
        <v>24</v>
      </c>
      <c r="B46" s="22">
        <v>2018</v>
      </c>
      <c r="C46" s="96">
        <v>3</v>
      </c>
      <c r="D46" s="63">
        <v>3.2000000000000001E-2</v>
      </c>
      <c r="E46" s="4">
        <v>16</v>
      </c>
      <c r="F46" s="45">
        <f>26.28%+29.21%+0.16%+0.22%</f>
        <v>0.55870000000000009</v>
      </c>
      <c r="G46" s="8">
        <f>KONTROL!G6*KONTROL!J24</f>
        <v>539436774443000</v>
      </c>
      <c r="H46" s="33">
        <v>28</v>
      </c>
      <c r="I46" s="12">
        <v>32399271</v>
      </c>
      <c r="J46" s="105">
        <v>358791603677.72797</v>
      </c>
      <c r="K46" s="17">
        <v>0.88470916057124405</v>
      </c>
      <c r="L46" s="4">
        <f>LN(Table1[[#This Row],[SIZE]])</f>
        <v>33.921546700882381</v>
      </c>
      <c r="M46" s="4">
        <f>LN(Table1[[#This Row],[POP]])</f>
        <v>17.29364648050943</v>
      </c>
      <c r="N46">
        <f>LN(Table1[[#This Row],[PDB]])</f>
        <v>26.606007565736082</v>
      </c>
    </row>
    <row r="47" spans="1:14" x14ac:dyDescent="0.3">
      <c r="A47" s="99" t="s">
        <v>24</v>
      </c>
      <c r="B47" s="22">
        <f>B46+1</f>
        <v>2019</v>
      </c>
      <c r="C47" s="96">
        <v>3</v>
      </c>
      <c r="D47" s="63">
        <v>2.8000000000000001E-2</v>
      </c>
      <c r="E47" s="4">
        <v>11</v>
      </c>
      <c r="F47" s="45">
        <v>0.68600000000000005</v>
      </c>
      <c r="G47" s="8">
        <f>KONTROL!G7*KONTROL!J25</f>
        <v>610476549592560</v>
      </c>
      <c r="H47" s="33">
        <f>H46+1</f>
        <v>29</v>
      </c>
      <c r="I47" s="12">
        <v>32804020</v>
      </c>
      <c r="J47" s="105">
        <v>365175135787.56787</v>
      </c>
      <c r="K47" s="17">
        <v>0.66289186576437598</v>
      </c>
      <c r="L47" s="4">
        <f>LN(Table1[[#This Row],[SIZE]])</f>
        <v>34.04526099693576</v>
      </c>
      <c r="M47" s="4">
        <f>LN(Table1[[#This Row],[POP]])</f>
        <v>17.30606162682</v>
      </c>
      <c r="N47">
        <f>LN(Table1[[#This Row],[PDB]])</f>
        <v>26.62364289952567</v>
      </c>
    </row>
    <row r="48" spans="1:14" x14ac:dyDescent="0.3">
      <c r="A48" s="99" t="s">
        <v>24</v>
      </c>
      <c r="B48" s="22">
        <f>B47+1</f>
        <v>2020</v>
      </c>
      <c r="C48" s="96">
        <v>3</v>
      </c>
      <c r="D48" s="63">
        <v>2.8000000000000001E-2</v>
      </c>
      <c r="E48" s="4">
        <v>12</v>
      </c>
      <c r="F48" s="45">
        <f>29.3%+26.22%+0.21%+0.37%</f>
        <v>0.56099999999999994</v>
      </c>
      <c r="G48" s="8">
        <f>KONTROL!G8*KONTROL!J26</f>
        <v>627535057157850</v>
      </c>
      <c r="H48" s="33">
        <f>H47+1</f>
        <v>30</v>
      </c>
      <c r="I48" s="12">
        <v>33199993</v>
      </c>
      <c r="J48" s="105">
        <v>337337932675.15167</v>
      </c>
      <c r="K48" s="17">
        <v>-1.13870215393056</v>
      </c>
      <c r="L48" s="4">
        <f>LN(Table1[[#This Row],[SIZE]])</f>
        <v>34.072820653354569</v>
      </c>
      <c r="M48" s="4">
        <f>LN(Table1[[#This Row],[POP]])</f>
        <v>17.318060223043322</v>
      </c>
      <c r="N48">
        <f>LN(Table1[[#This Row],[PDB]])</f>
        <v>26.54435103244527</v>
      </c>
    </row>
    <row r="49" spans="1:14" s="84" customFormat="1" x14ac:dyDescent="0.3">
      <c r="A49" s="60" t="s">
        <v>24</v>
      </c>
      <c r="B49" s="27">
        <f>B48+1</f>
        <v>2021</v>
      </c>
      <c r="C49" s="97">
        <v>3</v>
      </c>
      <c r="D49" s="64">
        <v>2.5999999999999999E-2</v>
      </c>
      <c r="E49" s="5">
        <v>12</v>
      </c>
      <c r="F49" s="46">
        <f>29.58%+0.87%+0.12%+25.64%</f>
        <v>0.56210000000000004</v>
      </c>
      <c r="G49" s="10">
        <f>KONTROL!G9*KONTROL!J27</f>
        <v>630493522533420</v>
      </c>
      <c r="H49" s="84">
        <f>H48+1</f>
        <v>31</v>
      </c>
      <c r="I49" s="13">
        <v>33573874</v>
      </c>
      <c r="J49" s="106">
        <v>372980957208.02258</v>
      </c>
      <c r="K49" s="18">
        <v>2.47710241465444</v>
      </c>
      <c r="L49" s="5">
        <f>LN(Table1[[#This Row],[SIZE]])</f>
        <v>34.077523997741366</v>
      </c>
      <c r="M49" s="5">
        <f>LN(Table1[[#This Row],[POP]])</f>
        <v>17.329258762953422</v>
      </c>
      <c r="N49" s="84">
        <f>LN(Table1[[#This Row],[PDB]])</f>
        <v>26.644793202225372</v>
      </c>
    </row>
    <row r="50" spans="1:14" x14ac:dyDescent="0.3">
      <c r="A50" s="59" t="s">
        <v>25</v>
      </c>
      <c r="B50" s="22">
        <v>2015</v>
      </c>
      <c r="C50" s="96">
        <v>3</v>
      </c>
      <c r="D50" s="63">
        <v>6.0000000000000001E-3</v>
      </c>
      <c r="E50" s="4">
        <v>12</v>
      </c>
      <c r="F50" s="45">
        <f>11.15%+7.51%+3.36%+2.58%</f>
        <v>0.24599999999999997</v>
      </c>
      <c r="G50" s="8">
        <f>KONTROL!G3*KONTROL!L21</f>
        <v>12630974904760</v>
      </c>
      <c r="H50" s="33">
        <f>2015-1985</f>
        <v>30</v>
      </c>
      <c r="I50" s="12">
        <v>31068833</v>
      </c>
      <c r="J50" s="105">
        <v>301354756113.17371</v>
      </c>
      <c r="K50" s="17">
        <v>2.10438980238344</v>
      </c>
      <c r="L50" s="4">
        <f>LN(Table1[[#This Row],[SIZE]])</f>
        <v>30.167173238920853</v>
      </c>
      <c r="M50" s="4">
        <f>LN(Table1[[#This Row],[POP]])</f>
        <v>17.25171572031622</v>
      </c>
      <c r="N50">
        <f>LN(Table1[[#This Row],[PDB]])</f>
        <v>26.431553999439402</v>
      </c>
    </row>
    <row r="51" spans="1:14" x14ac:dyDescent="0.3">
      <c r="A51" s="59" t="s">
        <v>25</v>
      </c>
      <c r="B51" s="22">
        <f>B50+1</f>
        <v>2016</v>
      </c>
      <c r="C51" s="96">
        <v>3</v>
      </c>
      <c r="D51" s="63">
        <v>4.1000000000000002E-2</v>
      </c>
      <c r="E51" s="4">
        <v>12</v>
      </c>
      <c r="F51" s="45">
        <f>7.51%+3.48%+2.64%</f>
        <v>0.1363</v>
      </c>
      <c r="G51" s="8">
        <f>KONTROL!G4*KONTROL!L22</f>
        <v>12831668248488.6</v>
      </c>
      <c r="H51" s="33">
        <f>H50+1</f>
        <v>31</v>
      </c>
      <c r="I51" s="12">
        <v>31526418</v>
      </c>
      <c r="J51" s="105">
        <v>301255454041.41455</v>
      </c>
      <c r="K51" s="17">
        <v>2.0905665952574499</v>
      </c>
      <c r="L51" s="4">
        <f>LN(Table1[[#This Row],[SIZE]])</f>
        <v>30.182937313265306</v>
      </c>
      <c r="M51" s="4">
        <f>LN(Table1[[#This Row],[POP]])</f>
        <v>17.266336418978145</v>
      </c>
      <c r="N51">
        <f>LN(Table1[[#This Row],[PDB]])</f>
        <v>26.43122442628918</v>
      </c>
    </row>
    <row r="52" spans="1:14" x14ac:dyDescent="0.3">
      <c r="A52" s="59" t="s">
        <v>25</v>
      </c>
      <c r="B52" s="22">
        <v>2018</v>
      </c>
      <c r="C52" s="96">
        <v>3</v>
      </c>
      <c r="D52" s="63">
        <v>1.2E-2</v>
      </c>
      <c r="E52" s="4">
        <v>12</v>
      </c>
      <c r="F52" s="45">
        <f>12.19%+4.07%+3.12%+1.57%</f>
        <v>0.20949999999999999</v>
      </c>
      <c r="G52" s="8">
        <f>KONTROL!G6*KONTROL!L24</f>
        <v>34145956480946.801</v>
      </c>
      <c r="H52" s="33">
        <v>33</v>
      </c>
      <c r="I52" s="12">
        <v>32399271</v>
      </c>
      <c r="J52" s="105">
        <v>358791603677.72797</v>
      </c>
      <c r="K52" s="17">
        <v>0.88470916057124405</v>
      </c>
      <c r="L52" s="4">
        <f>LN(Table1[[#This Row],[SIZE]])</f>
        <v>31.161665290277476</v>
      </c>
      <c r="M52" s="4">
        <f>LN(Table1[[#This Row],[POP]])</f>
        <v>17.29364648050943</v>
      </c>
      <c r="N52">
        <f>LN(Table1[[#This Row],[PDB]])</f>
        <v>26.606007565736082</v>
      </c>
    </row>
    <row r="53" spans="1:14" x14ac:dyDescent="0.3">
      <c r="A53" s="99" t="s">
        <v>25</v>
      </c>
      <c r="B53" s="22">
        <f>B52+1</f>
        <v>2019</v>
      </c>
      <c r="C53" s="96">
        <v>3</v>
      </c>
      <c r="D53" s="63">
        <v>1.2999999999999999E-2</v>
      </c>
      <c r="E53" s="4">
        <v>11</v>
      </c>
      <c r="F53" s="45">
        <f>7.35%+2.74%+2.22%+1.39%+1.26%+0.46%</f>
        <v>0.15419999999999998</v>
      </c>
      <c r="G53" s="8">
        <f>KONTROL!G7*KONTROL!L25</f>
        <v>36528802305488.102</v>
      </c>
      <c r="H53" s="33">
        <f>H52+1</f>
        <v>34</v>
      </c>
      <c r="I53" s="12">
        <v>32804020</v>
      </c>
      <c r="J53" s="105">
        <v>365175135787.56787</v>
      </c>
      <c r="K53" s="17">
        <v>0.66289186576437598</v>
      </c>
      <c r="L53" s="4">
        <f>LN(Table1[[#This Row],[SIZE]])</f>
        <v>31.229122169597865</v>
      </c>
      <c r="M53" s="4">
        <f>LN(Table1[[#This Row],[POP]])</f>
        <v>17.30606162682</v>
      </c>
      <c r="N53">
        <f>LN(Table1[[#This Row],[PDB]])</f>
        <v>26.62364289952567</v>
      </c>
    </row>
    <row r="54" spans="1:14" x14ac:dyDescent="0.3">
      <c r="A54" s="99" t="s">
        <v>25</v>
      </c>
      <c r="B54" s="22">
        <f>B53+1</f>
        <v>2020</v>
      </c>
      <c r="C54" s="96">
        <v>3</v>
      </c>
      <c r="D54" s="63">
        <v>3.0000000000000001E-3</v>
      </c>
      <c r="E54" s="4">
        <v>11</v>
      </c>
      <c r="F54" s="45">
        <f>2.71%+2.28%+11.05%</f>
        <v>0.16039999999999999</v>
      </c>
      <c r="G54" s="8">
        <f>KONTROL!G8*KONTROL!L26</f>
        <v>36084446089962</v>
      </c>
      <c r="H54" s="33">
        <f>H53+1</f>
        <v>35</v>
      </c>
      <c r="I54" s="12">
        <v>33199993</v>
      </c>
      <c r="J54" s="105">
        <v>337337932675.15167</v>
      </c>
      <c r="K54" s="17">
        <v>-1.13870215393056</v>
      </c>
      <c r="L54" s="4">
        <f>LN(Table1[[#This Row],[SIZE]])</f>
        <v>31.216883032188427</v>
      </c>
      <c r="M54" s="4">
        <f>LN(Table1[[#This Row],[POP]])</f>
        <v>17.318060223043322</v>
      </c>
      <c r="N54">
        <f>LN(Table1[[#This Row],[PDB]])</f>
        <v>26.54435103244527</v>
      </c>
    </row>
    <row r="55" spans="1:14" s="84" customFormat="1" x14ac:dyDescent="0.3">
      <c r="A55" s="60" t="s">
        <v>25</v>
      </c>
      <c r="B55" s="27">
        <f>B54+1</f>
        <v>2021</v>
      </c>
      <c r="C55" s="97">
        <v>3</v>
      </c>
      <c r="D55" s="64">
        <v>2E-3</v>
      </c>
      <c r="E55" s="5">
        <v>11</v>
      </c>
      <c r="F55" s="46">
        <f>11.05%+2.71%+1.3%+0.3%+0.37%</f>
        <v>0.15730000000000002</v>
      </c>
      <c r="G55" s="10">
        <f>KONTROL!G9*KONTROL!L27</f>
        <v>38732888761692.305</v>
      </c>
      <c r="H55" s="84">
        <f>H54+1</f>
        <v>36</v>
      </c>
      <c r="I55" s="13">
        <v>33573874</v>
      </c>
      <c r="J55" s="106">
        <v>372980957208.02258</v>
      </c>
      <c r="K55" s="18">
        <v>2.47710241465444</v>
      </c>
      <c r="L55" s="5">
        <f>LN(Table1[[#This Row],[SIZE]])</f>
        <v>31.287710193859169</v>
      </c>
      <c r="M55" s="5">
        <f>LN(Table1[[#This Row],[POP]])</f>
        <v>17.329258762953422</v>
      </c>
      <c r="N55" s="84">
        <f>LN(Table1[[#This Row],[PDB]])</f>
        <v>26.644793202225372</v>
      </c>
    </row>
    <row r="56" spans="1:14" x14ac:dyDescent="0.3">
      <c r="A56" s="34" t="s">
        <v>16</v>
      </c>
      <c r="B56" s="22">
        <v>2016</v>
      </c>
      <c r="C56" s="96">
        <v>3</v>
      </c>
      <c r="D56" s="63">
        <v>1.17E-2</v>
      </c>
      <c r="E56" s="4">
        <v>12</v>
      </c>
      <c r="F56" s="80">
        <f>12.86%+10.17%+8.13%+6.08%+0.47%+0.43%</f>
        <v>0.38140000000000002</v>
      </c>
      <c r="G56" s="8">
        <f>KONTROL!G4*KONTROL!N13</f>
        <v>97285096245820.797</v>
      </c>
      <c r="H56" s="33">
        <v>41</v>
      </c>
      <c r="I56" s="12">
        <v>31526418</v>
      </c>
      <c r="J56" s="105">
        <v>301255454041.41455</v>
      </c>
      <c r="K56" s="17">
        <v>2.0905665952574499</v>
      </c>
      <c r="L56" s="4">
        <f>LN(Table1[[#This Row],[SIZE]])</f>
        <v>32.208666920169598</v>
      </c>
      <c r="M56" s="4">
        <f>LN(Table1[[#This Row],[POP]])</f>
        <v>17.266336418978145</v>
      </c>
      <c r="N56">
        <f>LN(Table1[[#This Row],[PDB]])</f>
        <v>26.43122442628918</v>
      </c>
    </row>
    <row r="57" spans="1:14" x14ac:dyDescent="0.3">
      <c r="A57" s="34" t="s">
        <v>16</v>
      </c>
      <c r="B57" s="22">
        <f>B56+1</f>
        <v>2017</v>
      </c>
      <c r="C57" s="96">
        <v>3</v>
      </c>
      <c r="D57" s="63">
        <v>9.9000000000000008E-3</v>
      </c>
      <c r="E57" s="4">
        <v>13</v>
      </c>
      <c r="F57" s="80">
        <f>11.68%+10.23%+8.27%+6.2%+0.43%+0.37%</f>
        <v>0.37180000000000002</v>
      </c>
      <c r="G57" s="8">
        <f>KONTROL!G5*KONTROL!N14</f>
        <v>93176744487786.5</v>
      </c>
      <c r="H57" s="33">
        <f>H56+1</f>
        <v>42</v>
      </c>
      <c r="I57" s="12">
        <v>31975806</v>
      </c>
      <c r="J57" s="105">
        <v>319112175611.57104</v>
      </c>
      <c r="K57" s="17">
        <v>3.8712011577424001</v>
      </c>
      <c r="L57" s="4">
        <f>LN(Table1[[#This Row],[SIZE]])</f>
        <v>32.165519283820899</v>
      </c>
      <c r="M57" s="4">
        <f>LN(Table1[[#This Row],[POP]])</f>
        <v>17.280490112304605</v>
      </c>
      <c r="N57">
        <f>LN(Table1[[#This Row],[PDB]])</f>
        <v>26.488808525602874</v>
      </c>
    </row>
    <row r="58" spans="1:14" x14ac:dyDescent="0.3">
      <c r="A58" s="34" t="s">
        <v>16</v>
      </c>
      <c r="B58" s="22">
        <f>B57+1</f>
        <v>2018</v>
      </c>
      <c r="C58" s="96">
        <v>3</v>
      </c>
      <c r="D58" s="63">
        <v>9.4999999999999998E-3</v>
      </c>
      <c r="E58" s="4">
        <v>8</v>
      </c>
      <c r="F58" s="80">
        <f>11.84%+10.23%+8.54%+6.32%+0.28%</f>
        <v>0.37209999999999999</v>
      </c>
      <c r="G58" s="8">
        <f>KONTROL!G6*KONTROL!N15</f>
        <v>101720900602130.61</v>
      </c>
      <c r="H58" s="33">
        <f>H57+1</f>
        <v>43</v>
      </c>
      <c r="I58" s="12">
        <v>32399271</v>
      </c>
      <c r="J58" s="105">
        <v>358791603677.72797</v>
      </c>
      <c r="K58" s="17">
        <v>0.88470916057124405</v>
      </c>
      <c r="L58" s="4">
        <f>LN(Table1[[#This Row],[SIZE]])</f>
        <v>32.253253910180305</v>
      </c>
      <c r="M58" s="4">
        <f>LN(Table1[[#This Row],[POP]])</f>
        <v>17.29364648050943</v>
      </c>
      <c r="N58">
        <f>LN(Table1[[#This Row],[PDB]])</f>
        <v>26.606007565736082</v>
      </c>
    </row>
    <row r="59" spans="1:14" x14ac:dyDescent="0.3">
      <c r="A59" s="34" t="s">
        <v>16</v>
      </c>
      <c r="B59" s="22">
        <f>B58+1</f>
        <v>2019</v>
      </c>
      <c r="C59" s="96">
        <v>3</v>
      </c>
      <c r="D59" s="63">
        <v>1.21E-2</v>
      </c>
      <c r="E59" s="4">
        <v>7</v>
      </c>
      <c r="F59" s="80">
        <f>18.37%+11.88%+10.23%+8.92%+6.42%+0.18%</f>
        <v>0.56000000000000005</v>
      </c>
      <c r="G59" s="8">
        <f>KONTROL!G7*KONTROL!N16</f>
        <v>90659576283202.5</v>
      </c>
      <c r="H59" s="33">
        <f>H58+1</f>
        <v>44</v>
      </c>
      <c r="I59" s="12">
        <v>32804020</v>
      </c>
      <c r="J59" s="105">
        <v>365175135787.56787</v>
      </c>
      <c r="K59" s="17">
        <v>0.66289186576437598</v>
      </c>
      <c r="L59" s="4">
        <f>LN(Table1[[#This Row],[SIZE]])</f>
        <v>32.138132687739642</v>
      </c>
      <c r="M59" s="4">
        <f>LN(Table1[[#This Row],[POP]])</f>
        <v>17.30606162682</v>
      </c>
      <c r="N59">
        <f>LN(Table1[[#This Row],[PDB]])</f>
        <v>26.62364289952567</v>
      </c>
    </row>
    <row r="60" spans="1:14" x14ac:dyDescent="0.3">
      <c r="A60" s="34" t="s">
        <v>16</v>
      </c>
      <c r="B60" s="22">
        <f>B59+1</f>
        <v>2020</v>
      </c>
      <c r="C60" s="96">
        <v>3</v>
      </c>
      <c r="D60" s="63">
        <v>1.18E-2</v>
      </c>
      <c r="E60" s="4">
        <v>8</v>
      </c>
      <c r="F60" s="80">
        <f>12.93%+10.22%+9.14%+6.42%+1.34%</f>
        <v>0.40050000000000002</v>
      </c>
      <c r="G60" s="8">
        <f>KONTROL!G8*KONTROL!N17</f>
        <v>83663096412733.5</v>
      </c>
      <c r="H60" s="33">
        <f>H59+1</f>
        <v>45</v>
      </c>
      <c r="I60" s="12">
        <v>33199993</v>
      </c>
      <c r="J60" s="105">
        <v>337337932675.15167</v>
      </c>
      <c r="K60" s="17">
        <v>-1.13870215393056</v>
      </c>
      <c r="L60" s="4">
        <f>LN(Table1[[#This Row],[SIZE]])</f>
        <v>32.057819093123967</v>
      </c>
      <c r="M60" s="4">
        <f>LN(Table1[[#This Row],[POP]])</f>
        <v>17.318060223043322</v>
      </c>
      <c r="N60">
        <f>LN(Table1[[#This Row],[PDB]])</f>
        <v>26.54435103244527</v>
      </c>
    </row>
    <row r="61" spans="1:14" s="84" customFormat="1" x14ac:dyDescent="0.3">
      <c r="A61" s="35" t="s">
        <v>16</v>
      </c>
      <c r="B61" s="27">
        <f>B60+1</f>
        <v>2021</v>
      </c>
      <c r="C61" s="97">
        <v>3</v>
      </c>
      <c r="D61" s="64">
        <v>1.1299999999999999E-2</v>
      </c>
      <c r="E61" s="5">
        <v>8</v>
      </c>
      <c r="F61" s="81">
        <f>11.81%+10.02%+9.11%+6.42%+2.87%+0.15%</f>
        <v>0.40379999999999999</v>
      </c>
      <c r="G61" s="10">
        <f>KONTROL!G9*KONTROL!N18</f>
        <v>79701142492141.797</v>
      </c>
      <c r="H61" s="84">
        <f>H60+1</f>
        <v>46</v>
      </c>
      <c r="I61" s="13">
        <v>33573874</v>
      </c>
      <c r="J61" s="106">
        <v>372980957208.02258</v>
      </c>
      <c r="K61" s="18">
        <v>2.47710241465444</v>
      </c>
      <c r="L61" s="5">
        <f>LN(Table1[[#This Row],[SIZE]])</f>
        <v>32.009305036529653</v>
      </c>
      <c r="M61" s="5">
        <f>LN(Table1[[#This Row],[POP]])</f>
        <v>17.329258762953422</v>
      </c>
      <c r="N61" s="84">
        <f>LN(Table1[[#This Row],[PDB]])</f>
        <v>26.644793202225372</v>
      </c>
    </row>
    <row r="62" spans="1:14" x14ac:dyDescent="0.3">
      <c r="A62" s="38" t="s">
        <v>17</v>
      </c>
      <c r="B62" s="22">
        <v>2015</v>
      </c>
      <c r="C62" s="96">
        <v>3</v>
      </c>
      <c r="D62" s="83">
        <v>0.01</v>
      </c>
      <c r="E62" s="4">
        <v>9</v>
      </c>
      <c r="F62" s="45">
        <f>66.5%+6.04%+3.42%+0.57%</f>
        <v>0.76530000000000009</v>
      </c>
      <c r="G62" s="8">
        <f>KONTROL!G3*KONTROL!N21</f>
        <v>14864949235246.4</v>
      </c>
      <c r="H62">
        <f>2015-1989</f>
        <v>26</v>
      </c>
      <c r="I62" s="12">
        <v>31068833</v>
      </c>
      <c r="J62" s="105">
        <v>301354756113.17371</v>
      </c>
      <c r="K62" s="17">
        <v>2.10438980238344</v>
      </c>
      <c r="L62" s="4">
        <f>LN(Table1[[#This Row],[SIZE]])</f>
        <v>30.330027157320401</v>
      </c>
      <c r="M62" s="4">
        <f>LN(Table1[[#This Row],[POP]])</f>
        <v>17.25171572031622</v>
      </c>
      <c r="N62">
        <f>LN(Table1[[#This Row],[PDB]])</f>
        <v>26.431553999439402</v>
      </c>
    </row>
    <row r="63" spans="1:14" x14ac:dyDescent="0.3">
      <c r="A63" s="38" t="s">
        <v>17</v>
      </c>
      <c r="B63" s="22">
        <f>B62+1</f>
        <v>2016</v>
      </c>
      <c r="C63" s="96">
        <v>3</v>
      </c>
      <c r="D63" s="63">
        <v>-3.4000000000000002E-2</v>
      </c>
      <c r="E63" s="4">
        <v>10</v>
      </c>
      <c r="F63" s="45">
        <f>66.5%+6.41%+2.89%+0.57%</f>
        <v>0.76370000000000016</v>
      </c>
      <c r="G63" s="8">
        <f>KONTROL!G4*KONTROL!N22</f>
        <v>11580656081053.801</v>
      </c>
      <c r="H63">
        <f>H62+1</f>
        <v>27</v>
      </c>
      <c r="I63" s="12">
        <v>31526418</v>
      </c>
      <c r="J63" s="105">
        <v>301255454041.41455</v>
      </c>
      <c r="K63" s="17">
        <v>2.0905665952574499</v>
      </c>
      <c r="L63" s="4">
        <f>LN(Table1[[#This Row],[SIZE]])</f>
        <v>30.08035724286346</v>
      </c>
      <c r="M63" s="4">
        <f>LN(Table1[[#This Row],[POP]])</f>
        <v>17.266336418978145</v>
      </c>
      <c r="N63">
        <f>LN(Table1[[#This Row],[PDB]])</f>
        <v>26.43122442628918</v>
      </c>
    </row>
    <row r="64" spans="1:14" x14ac:dyDescent="0.3">
      <c r="A64" s="38" t="s">
        <v>17</v>
      </c>
      <c r="B64" s="22">
        <f>B63+1</f>
        <v>2017</v>
      </c>
      <c r="C64" s="96">
        <v>3</v>
      </c>
      <c r="D64" s="63">
        <v>8.9999999999999993E-3</v>
      </c>
      <c r="E64" s="4">
        <v>9</v>
      </c>
      <c r="F64" s="45">
        <f>66.5%+6.1%+3.42%+0.57%</f>
        <v>0.76590000000000003</v>
      </c>
      <c r="G64" s="8">
        <f>KONTROL!G5*KONTROL!N23</f>
        <v>10541374741622</v>
      </c>
      <c r="H64" s="33">
        <f>H63+1</f>
        <v>28</v>
      </c>
      <c r="I64" s="12">
        <v>31975806</v>
      </c>
      <c r="J64" s="105">
        <v>319112175611.57104</v>
      </c>
      <c r="K64" s="17">
        <v>3.8712011577424001</v>
      </c>
      <c r="L64" s="4">
        <f>LN(Table1[[#This Row],[SIZE]])</f>
        <v>29.986329081430323</v>
      </c>
      <c r="M64" s="4">
        <f>LN(Table1[[#This Row],[POP]])</f>
        <v>17.280490112304605</v>
      </c>
      <c r="N64">
        <f>LN(Table1[[#This Row],[PDB]])</f>
        <v>26.488808525602874</v>
      </c>
    </row>
    <row r="65" spans="1:14" x14ac:dyDescent="0.3">
      <c r="A65" s="38" t="s">
        <v>17</v>
      </c>
      <c r="B65" s="22">
        <f>B64+1</f>
        <v>2018</v>
      </c>
      <c r="C65" s="96">
        <v>3</v>
      </c>
      <c r="D65" s="63">
        <v>-3.7999999999999999E-2</v>
      </c>
      <c r="E65" s="4">
        <v>9</v>
      </c>
      <c r="F65" s="45">
        <f>66.5%+6.6%+2.25%</f>
        <v>0.75350000000000006</v>
      </c>
      <c r="G65" s="8">
        <f>KONTROL!G6*KONTROL!N24</f>
        <v>11165311108368.201</v>
      </c>
      <c r="H65" s="33">
        <f>H64+1</f>
        <v>29</v>
      </c>
      <c r="I65" s="12">
        <v>32399271</v>
      </c>
      <c r="J65" s="105">
        <v>358791603677.72797</v>
      </c>
      <c r="K65" s="17">
        <v>0.88470916057124405</v>
      </c>
      <c r="L65" s="4">
        <f>LN(Table1[[#This Row],[SIZE]])</f>
        <v>30.043832865442241</v>
      </c>
      <c r="M65" s="4">
        <f>LN(Table1[[#This Row],[POP]])</f>
        <v>17.29364648050943</v>
      </c>
      <c r="N65">
        <f>LN(Table1[[#This Row],[PDB]])</f>
        <v>26.606007565736082</v>
      </c>
    </row>
    <row r="66" spans="1:14" x14ac:dyDescent="0.3">
      <c r="A66" s="38" t="s">
        <v>17</v>
      </c>
      <c r="B66" s="22">
        <f>B65+1</f>
        <v>2019</v>
      </c>
      <c r="C66" s="96">
        <v>3</v>
      </c>
      <c r="D66" s="63">
        <v>-1.0999999999999999E-2</v>
      </c>
      <c r="E66" s="4">
        <v>10</v>
      </c>
      <c r="F66" s="45">
        <f>66.5%+6.6%+2.23%</f>
        <v>0.75330000000000008</v>
      </c>
      <c r="G66" s="8">
        <f>KONTROL!G7*KONTROL!N25</f>
        <v>10984234003262.1</v>
      </c>
      <c r="H66" s="33">
        <f>H65+1</f>
        <v>30</v>
      </c>
      <c r="I66" s="12">
        <v>32804020</v>
      </c>
      <c r="J66" s="105">
        <v>365175135787.56787</v>
      </c>
      <c r="K66" s="17">
        <v>0.66289186576437598</v>
      </c>
      <c r="L66" s="4">
        <f>LN(Table1[[#This Row],[SIZE]])</f>
        <v>30.027482088178772</v>
      </c>
      <c r="M66" s="4">
        <f>LN(Table1[[#This Row],[POP]])</f>
        <v>17.30606162682</v>
      </c>
      <c r="N66">
        <f>LN(Table1[[#This Row],[PDB]])</f>
        <v>26.62364289952567</v>
      </c>
    </row>
    <row r="67" spans="1:14" x14ac:dyDescent="0.3">
      <c r="A67" s="38" t="s">
        <v>17</v>
      </c>
      <c r="B67" s="22">
        <f>B66+1</f>
        <v>2020</v>
      </c>
      <c r="C67" s="96">
        <v>3</v>
      </c>
      <c r="D67" s="63">
        <v>-0.126</v>
      </c>
      <c r="E67" s="4">
        <v>9</v>
      </c>
      <c r="F67" s="45">
        <f>66.5%+2.23%+5.24%</f>
        <v>0.73970000000000002</v>
      </c>
      <c r="G67" s="8">
        <f>KONTROL!G8*KONTROL!N26</f>
        <v>10882487143339.5</v>
      </c>
      <c r="H67" s="33">
        <f>H66+1</f>
        <v>31</v>
      </c>
      <c r="I67" s="12">
        <v>33199993</v>
      </c>
      <c r="J67" s="105">
        <v>337337932675.15167</v>
      </c>
      <c r="K67" s="17">
        <v>-1.13870215393056</v>
      </c>
      <c r="L67" s="4">
        <f>LN(Table1[[#This Row],[SIZE]])</f>
        <v>30.018175928965274</v>
      </c>
      <c r="M67" s="4">
        <f>LN(Table1[[#This Row],[POP]])</f>
        <v>17.318060223043322</v>
      </c>
      <c r="N67">
        <f>LN(Table1[[#This Row],[PDB]])</f>
        <v>26.54435103244527</v>
      </c>
    </row>
    <row r="68" spans="1:14" x14ac:dyDescent="0.3">
      <c r="A68" s="39" t="s">
        <v>17</v>
      </c>
      <c r="B68" s="27">
        <f>B67+1</f>
        <v>2021</v>
      </c>
      <c r="C68" s="97">
        <v>3</v>
      </c>
      <c r="D68" s="64">
        <v>-8.4000000000000005E-2</v>
      </c>
      <c r="E68" s="5">
        <v>9</v>
      </c>
      <c r="F68" s="45">
        <f>66.5%+2.19%+5.17%</f>
        <v>0.73860000000000003</v>
      </c>
      <c r="G68" s="8">
        <f>KONTROL!G9*KONTROL!N27</f>
        <v>11705412164331.9</v>
      </c>
      <c r="H68" s="5">
        <f>H67+1</f>
        <v>32</v>
      </c>
      <c r="I68" s="13">
        <v>33573874</v>
      </c>
      <c r="J68" s="106">
        <v>372980957208.02258</v>
      </c>
      <c r="K68" s="18">
        <v>2.47710241465444</v>
      </c>
      <c r="L68" s="4">
        <f>LN(Table1[[#This Row],[SIZE]])</f>
        <v>30.091072428923994</v>
      </c>
      <c r="M68" s="4">
        <f>LN(Table1[[#This Row],[POP]])</f>
        <v>17.329258762953422</v>
      </c>
      <c r="N68">
        <f>LN(Table1[[#This Row],[PDB]])</f>
        <v>26.644793202225372</v>
      </c>
    </row>
    <row r="69" spans="1:14" x14ac:dyDescent="0.3">
      <c r="A69" s="34" t="s">
        <v>14</v>
      </c>
      <c r="B69" s="22">
        <v>2016</v>
      </c>
      <c r="C69" s="96">
        <v>4</v>
      </c>
      <c r="D69" s="63">
        <v>9.6000000000000002E-2</v>
      </c>
      <c r="E69" s="4">
        <v>10</v>
      </c>
      <c r="F69" s="45">
        <f>14.28%+0.45%+0.07%+0.75%</f>
        <v>0.1555</v>
      </c>
      <c r="G69" s="8">
        <f>KONTROL!G4*KONTROL!F31</f>
        <v>30104428726991.398</v>
      </c>
      <c r="H69" s="33">
        <v>35</v>
      </c>
      <c r="I69" s="12">
        <v>31526418</v>
      </c>
      <c r="J69" s="105">
        <v>301255454041.41455</v>
      </c>
      <c r="K69" s="17">
        <v>2.0905665952574499</v>
      </c>
      <c r="L69" s="4">
        <f>LN(Table1[[#This Row],[SIZE]])</f>
        <v>31.035693410647355</v>
      </c>
      <c r="M69" s="4">
        <f>LN(Table1[[#This Row],[POP]])</f>
        <v>17.266336418978145</v>
      </c>
      <c r="N69">
        <f>LN(Table1[[#This Row],[PDB]])</f>
        <v>26.43122442628918</v>
      </c>
    </row>
    <row r="70" spans="1:14" x14ac:dyDescent="0.3">
      <c r="A70" s="34" t="s">
        <v>14</v>
      </c>
      <c r="B70" s="22">
        <f>B69+1</f>
        <v>2017</v>
      </c>
      <c r="C70" s="96">
        <v>4</v>
      </c>
      <c r="D70" s="63">
        <v>0.112</v>
      </c>
      <c r="E70" s="4">
        <v>9</v>
      </c>
      <c r="F70" s="45">
        <f>10.16%+0.44%+0.05%+0.75%</f>
        <v>0.11399999999999999</v>
      </c>
      <c r="G70" s="8">
        <f>KONTROL!G5*KONTROL!F32</f>
        <v>30359940722248.5</v>
      </c>
      <c r="H70" s="33">
        <f>H69+1</f>
        <v>36</v>
      </c>
      <c r="I70" s="12">
        <v>31975806</v>
      </c>
      <c r="J70" s="105">
        <v>319112175611.57104</v>
      </c>
      <c r="K70" s="17">
        <v>3.8712011577424001</v>
      </c>
      <c r="L70" s="4">
        <f>LN(Table1[[#This Row],[SIZE]])</f>
        <v>31.044145115958962</v>
      </c>
      <c r="M70" s="4">
        <f>LN(Table1[[#This Row],[POP]])</f>
        <v>17.280490112304605</v>
      </c>
      <c r="N70">
        <f>LN(Table1[[#This Row],[PDB]])</f>
        <v>26.488808525602874</v>
      </c>
    </row>
    <row r="71" spans="1:14" x14ac:dyDescent="0.3">
      <c r="A71" s="34" t="s">
        <v>14</v>
      </c>
      <c r="B71" s="22">
        <f>B70+1</f>
        <v>2018</v>
      </c>
      <c r="C71" s="96">
        <v>4</v>
      </c>
      <c r="D71" s="63">
        <v>9.4E-2</v>
      </c>
      <c r="E71" s="4">
        <v>10</v>
      </c>
      <c r="F71" s="45">
        <f>7.58%+0.25%+0.06%+0.75%</f>
        <v>8.6400000000000005E-2</v>
      </c>
      <c r="G71" s="8">
        <f>KONTROL!G6*KONTROL!F33</f>
        <v>32187505641109</v>
      </c>
      <c r="H71" s="33">
        <f>H70+1</f>
        <v>37</v>
      </c>
      <c r="I71" s="12">
        <v>32399271</v>
      </c>
      <c r="J71" s="105">
        <v>358791603677.72797</v>
      </c>
      <c r="K71" s="17">
        <v>0.88470916057124405</v>
      </c>
      <c r="L71" s="4">
        <f>LN(Table1[[#This Row],[SIZE]])</f>
        <v>31.102599469610244</v>
      </c>
      <c r="M71" s="4">
        <f>LN(Table1[[#This Row],[POP]])</f>
        <v>17.29364648050943</v>
      </c>
      <c r="N71">
        <f>LN(Table1[[#This Row],[PDB]])</f>
        <v>26.606007565736082</v>
      </c>
    </row>
    <row r="72" spans="1:14" x14ac:dyDescent="0.3">
      <c r="A72" s="34" t="s">
        <v>14</v>
      </c>
      <c r="B72" s="22">
        <f>B71+1</f>
        <v>2019</v>
      </c>
      <c r="C72" s="96">
        <v>4</v>
      </c>
      <c r="D72" s="63">
        <v>8.4000000000000005E-2</v>
      </c>
      <c r="E72" s="4">
        <v>10</v>
      </c>
      <c r="F72" s="45">
        <f>10.46%+0.26%+0.03%+0.75%</f>
        <v>0.11500000000000002</v>
      </c>
      <c r="G72" s="8">
        <f>KONTROL!G7*KONTROL!F34</f>
        <v>34121179586919.602</v>
      </c>
      <c r="H72" s="33">
        <f>H71+1</f>
        <v>38</v>
      </c>
      <c r="I72" s="12">
        <v>32804020</v>
      </c>
      <c r="J72" s="105">
        <v>365175135787.56787</v>
      </c>
      <c r="K72" s="17">
        <v>0.66289186576437598</v>
      </c>
      <c r="L72" s="4">
        <f>LN(Table1[[#This Row],[SIZE]])</f>
        <v>31.160939409669549</v>
      </c>
      <c r="M72" s="4">
        <f>LN(Table1[[#This Row],[POP]])</f>
        <v>17.30606162682</v>
      </c>
      <c r="N72">
        <f>LN(Table1[[#This Row],[PDB]])</f>
        <v>26.62364289952567</v>
      </c>
    </row>
    <row r="73" spans="1:14" x14ac:dyDescent="0.3">
      <c r="A73" s="34" t="s">
        <v>14</v>
      </c>
      <c r="B73" s="22">
        <f>B72+1</f>
        <v>2020</v>
      </c>
      <c r="C73" s="96">
        <v>4</v>
      </c>
      <c r="D73" s="63">
        <v>3.3000000000000002E-2</v>
      </c>
      <c r="E73" s="4">
        <v>10</v>
      </c>
      <c r="F73" s="45">
        <f>11.24%+0.27%+0.76%</f>
        <v>0.12269999999999999</v>
      </c>
      <c r="G73" s="8">
        <f>KONTROL!G8*KONTROL!F35</f>
        <v>28913991477135</v>
      </c>
      <c r="H73" s="33">
        <f>H72+1</f>
        <v>39</v>
      </c>
      <c r="I73" s="12">
        <v>33199993</v>
      </c>
      <c r="J73" s="105">
        <v>337337932675.15167</v>
      </c>
      <c r="K73" s="17">
        <v>-1.13870215393056</v>
      </c>
      <c r="L73" s="4">
        <f>LN(Table1[[#This Row],[SIZE]])</f>
        <v>30.995346728048727</v>
      </c>
      <c r="M73" s="4">
        <f>LN(Table1[[#This Row],[POP]])</f>
        <v>17.318060223043322</v>
      </c>
      <c r="N73">
        <f>LN(Table1[[#This Row],[PDB]])</f>
        <v>26.54435103244527</v>
      </c>
    </row>
    <row r="74" spans="1:14" s="84" customFormat="1" x14ac:dyDescent="0.3">
      <c r="A74" s="40" t="s">
        <v>14</v>
      </c>
      <c r="B74" s="27">
        <f>B73+1</f>
        <v>2021</v>
      </c>
      <c r="C74" s="98">
        <v>4</v>
      </c>
      <c r="D74" s="64">
        <v>5.5E-2</v>
      </c>
      <c r="E74" s="5">
        <v>9</v>
      </c>
      <c r="F74" s="46">
        <f>11.24%+0.01%+0.24%+0.75%</f>
        <v>0.12240000000000001</v>
      </c>
      <c r="G74" s="10">
        <f>KONTROL!G9*KONTROL!F36</f>
        <v>33150187363127.102</v>
      </c>
      <c r="H74" s="84">
        <f>H73+1</f>
        <v>40</v>
      </c>
      <c r="I74" s="13">
        <v>33573874</v>
      </c>
      <c r="J74" s="106">
        <v>372980957208.02258</v>
      </c>
      <c r="K74" s="18">
        <v>2.47710241465444</v>
      </c>
      <c r="L74" s="5">
        <f>LN(Table1[[#This Row],[SIZE]])</f>
        <v>31.132069484524148</v>
      </c>
      <c r="M74" s="5">
        <f>LN(Table1[[#This Row],[POP]])</f>
        <v>17.329258762953422</v>
      </c>
      <c r="N74" s="84">
        <f>LN(Table1[[#This Row],[PDB]])</f>
        <v>26.644793202225372</v>
      </c>
    </row>
    <row r="75" spans="1:14" x14ac:dyDescent="0.3">
      <c r="A75" s="99" t="s">
        <v>26</v>
      </c>
      <c r="B75" s="22">
        <v>2015</v>
      </c>
      <c r="C75" s="96">
        <v>3</v>
      </c>
      <c r="D75" s="63">
        <v>1.6E-2</v>
      </c>
      <c r="E75" s="4">
        <v>9</v>
      </c>
      <c r="F75" s="45">
        <f>10.59%+5.8%+10.42%+7.41%+2.26%+1.13%+0.34%+0.28%</f>
        <v>0.38230000000000003</v>
      </c>
      <c r="G75" s="8">
        <f>KONTROL!G3*KONTROL!H30</f>
        <v>12364877457769.6</v>
      </c>
      <c r="H75" s="33">
        <f>2015-1973</f>
        <v>42</v>
      </c>
      <c r="I75" s="12">
        <v>31068833</v>
      </c>
      <c r="J75" s="105">
        <v>301354756113.17371</v>
      </c>
      <c r="K75" s="17">
        <v>2.10438980238344</v>
      </c>
      <c r="L75" s="4">
        <f>LN(Table1[[#This Row],[SIZE]])</f>
        <v>30.145881106441951</v>
      </c>
      <c r="M75" s="4">
        <f>LN(Table1[[#This Row],[POP]])</f>
        <v>17.25171572031622</v>
      </c>
      <c r="N75">
        <f>LN(Table1[[#This Row],[PDB]])</f>
        <v>26.431553999439402</v>
      </c>
    </row>
    <row r="76" spans="1:14" x14ac:dyDescent="0.3">
      <c r="A76" s="99" t="s">
        <v>26</v>
      </c>
      <c r="B76" s="22">
        <f>B75+1</f>
        <v>2016</v>
      </c>
      <c r="C76" s="96">
        <v>3</v>
      </c>
      <c r="D76" s="63">
        <v>2.9000000000000001E-2</v>
      </c>
      <c r="E76" s="4">
        <v>11</v>
      </c>
      <c r="F76" s="45">
        <f>10.59%+7.41%+7.26%+0.34%+0.25%</f>
        <v>0.25850000000000001</v>
      </c>
      <c r="G76" s="8">
        <f>KONTROL!G4*KONTROL!H31</f>
        <v>10307922876284.4</v>
      </c>
      <c r="H76" s="33">
        <f>H75+1</f>
        <v>43</v>
      </c>
      <c r="I76" s="12">
        <v>31526418</v>
      </c>
      <c r="J76" s="105">
        <v>301255454041.41455</v>
      </c>
      <c r="K76" s="17">
        <v>2.0905665952574499</v>
      </c>
      <c r="L76" s="4">
        <f>LN(Table1[[#This Row],[SIZE]])</f>
        <v>29.963933926762504</v>
      </c>
      <c r="M76" s="4">
        <f>LN(Table1[[#This Row],[POP]])</f>
        <v>17.266336418978145</v>
      </c>
      <c r="N76">
        <f>LN(Table1[[#This Row],[PDB]])</f>
        <v>26.43122442628918</v>
      </c>
    </row>
    <row r="77" spans="1:14" x14ac:dyDescent="0.3">
      <c r="A77" s="99" t="s">
        <v>26</v>
      </c>
      <c r="B77" s="22">
        <f>B76+1</f>
        <v>2017</v>
      </c>
      <c r="C77" s="96">
        <v>3</v>
      </c>
      <c r="D77" s="63">
        <v>4.1000000000000002E-2</v>
      </c>
      <c r="E77" s="4">
        <v>11</v>
      </c>
      <c r="F77" s="45">
        <f>10.59%+8.16%+5.51%+2.26%+0.34%+0.28%</f>
        <v>0.27140000000000003</v>
      </c>
      <c r="G77" s="8">
        <f>KONTROL!G5*KONTROL!H32</f>
        <v>8510577456925</v>
      </c>
      <c r="H77" s="33">
        <f>H76+1</f>
        <v>44</v>
      </c>
      <c r="I77" s="12">
        <v>31975806</v>
      </c>
      <c r="J77" s="105">
        <v>319112175611.57104</v>
      </c>
      <c r="K77" s="17">
        <v>3.8712011577424001</v>
      </c>
      <c r="L77" s="4">
        <f>LN(Table1[[#This Row],[SIZE]])</f>
        <v>29.772330912489608</v>
      </c>
      <c r="M77" s="4">
        <f>LN(Table1[[#This Row],[POP]])</f>
        <v>17.280490112304605</v>
      </c>
      <c r="N77">
        <f>LN(Table1[[#This Row],[PDB]])</f>
        <v>26.488808525602874</v>
      </c>
    </row>
    <row r="78" spans="1:14" x14ac:dyDescent="0.3">
      <c r="A78" s="59" t="s">
        <v>26</v>
      </c>
      <c r="B78" s="22">
        <f>B77+1</f>
        <v>2018</v>
      </c>
      <c r="C78" s="96">
        <v>3</v>
      </c>
      <c r="D78" s="63">
        <v>2.8000000000000001E-2</v>
      </c>
      <c r="E78" s="4">
        <v>8</v>
      </c>
      <c r="F78" s="45">
        <f>16.98%+10.59%+6.6%+2.26%+0.34%+0.28%+0.28%</f>
        <v>0.37330000000000008</v>
      </c>
      <c r="G78" s="8">
        <f>KONTROL!G6*KONTROL!H33</f>
        <v>11707152087180.201</v>
      </c>
      <c r="H78" s="33">
        <f>H77+1</f>
        <v>45</v>
      </c>
      <c r="I78" s="12">
        <v>32399271</v>
      </c>
      <c r="J78" s="105">
        <v>358791603677.72797</v>
      </c>
      <c r="K78" s="17">
        <v>0.88470916057124405</v>
      </c>
      <c r="L78" s="4">
        <f>LN(Table1[[#This Row],[SIZE]])</f>
        <v>30.091221060473519</v>
      </c>
      <c r="M78" s="4">
        <f>LN(Table1[[#This Row],[POP]])</f>
        <v>17.29364648050943</v>
      </c>
      <c r="N78">
        <f>LN(Table1[[#This Row],[PDB]])</f>
        <v>26.606007565736082</v>
      </c>
    </row>
    <row r="79" spans="1:14" x14ac:dyDescent="0.3">
      <c r="A79" s="99" t="s">
        <v>26</v>
      </c>
      <c r="B79" s="22">
        <f>B78+1</f>
        <v>2019</v>
      </c>
      <c r="C79" s="96">
        <v>3</v>
      </c>
      <c r="D79" s="63">
        <v>3.4000000000000002E-2</v>
      </c>
      <c r="E79" s="4">
        <v>8</v>
      </c>
      <c r="F79" s="45">
        <f>10.52%+5.49%+4.95%+2.24%</f>
        <v>0.23200000000000001</v>
      </c>
      <c r="G79" s="8">
        <f>KONTROL!G7*KONTROL!H34</f>
        <v>10377833732725.201</v>
      </c>
      <c r="H79" s="33">
        <f>H78+1</f>
        <v>46</v>
      </c>
      <c r="I79" s="12">
        <v>32804020</v>
      </c>
      <c r="J79" s="105">
        <v>365175135787.56787</v>
      </c>
      <c r="K79" s="17">
        <v>0.66289186576437598</v>
      </c>
      <c r="L79" s="4">
        <f>LN(Table1[[#This Row],[SIZE]])</f>
        <v>29.970693275616945</v>
      </c>
      <c r="M79" s="4">
        <f>LN(Table1[[#This Row],[POP]])</f>
        <v>17.30606162682</v>
      </c>
      <c r="N79">
        <f>LN(Table1[[#This Row],[PDB]])</f>
        <v>26.62364289952567</v>
      </c>
    </row>
    <row r="80" spans="1:14" x14ac:dyDescent="0.3">
      <c r="A80" s="99" t="s">
        <v>26</v>
      </c>
      <c r="B80" s="22">
        <f>B79+1</f>
        <v>2020</v>
      </c>
      <c r="C80" s="96">
        <v>3</v>
      </c>
      <c r="D80" s="63">
        <v>2.5000000000000001E-2</v>
      </c>
      <c r="E80" s="4">
        <v>8</v>
      </c>
      <c r="F80" s="45">
        <f>10.74%+5.05%+3.77%+2.29%</f>
        <v>0.2185</v>
      </c>
      <c r="G80" s="8">
        <f>KONTROL!G8*KONTROL!H35</f>
        <v>8173980544857.001</v>
      </c>
      <c r="H80" s="33">
        <f>H79+1</f>
        <v>47</v>
      </c>
      <c r="I80" s="12">
        <v>33199993</v>
      </c>
      <c r="J80" s="105">
        <v>337337932675.15167</v>
      </c>
      <c r="K80" s="17">
        <v>-1.13870215393056</v>
      </c>
      <c r="L80" s="4">
        <f>LN(Table1[[#This Row],[SIZE]])</f>
        <v>29.731977120942648</v>
      </c>
      <c r="M80" s="4">
        <f>LN(Table1[[#This Row],[POP]])</f>
        <v>17.318060223043322</v>
      </c>
      <c r="N80">
        <f>LN(Table1[[#This Row],[PDB]])</f>
        <v>26.54435103244527</v>
      </c>
    </row>
    <row r="81" spans="1:14" x14ac:dyDescent="0.3">
      <c r="A81" s="60" t="s">
        <v>26</v>
      </c>
      <c r="B81" s="27">
        <f>B80+1</f>
        <v>2021</v>
      </c>
      <c r="C81" s="98">
        <v>3</v>
      </c>
      <c r="D81" s="64">
        <v>2.3E-2</v>
      </c>
      <c r="E81" s="5">
        <v>9</v>
      </c>
      <c r="F81" s="46">
        <f>15.96%+9.05%+4.21%+2.72%+0.08%</f>
        <v>0.32020000000000004</v>
      </c>
      <c r="G81" s="8">
        <f>KONTROL!G9*KONTROL!H36</f>
        <v>11329451424293.1</v>
      </c>
      <c r="H81" s="5">
        <f>H80+1</f>
        <v>48</v>
      </c>
      <c r="I81" s="13">
        <v>33573874</v>
      </c>
      <c r="J81" s="106">
        <v>372980957208.02258</v>
      </c>
      <c r="K81" s="18">
        <v>2.47710241465444</v>
      </c>
      <c r="L81" s="4">
        <f>LN(Table1[[#This Row],[SIZE]])</f>
        <v>30.058426771816848</v>
      </c>
      <c r="M81" s="4">
        <f>LN(Table1[[#This Row],[POP]])</f>
        <v>17.329258762953422</v>
      </c>
      <c r="N81">
        <f>LN(Table1[[#This Row],[PDB]])</f>
        <v>26.644793202225372</v>
      </c>
    </row>
    <row r="82" spans="1:14" x14ac:dyDescent="0.3">
      <c r="A82" s="34" t="s">
        <v>19</v>
      </c>
      <c r="B82" s="22">
        <v>2015</v>
      </c>
      <c r="C82" s="96">
        <v>3</v>
      </c>
      <c r="D82" s="62">
        <v>0.125</v>
      </c>
      <c r="E82" s="6">
        <v>12</v>
      </c>
      <c r="F82" s="44">
        <f>42.39%+3.1%+1.16%+0.52%</f>
        <v>0.47169999999999995</v>
      </c>
      <c r="G82" s="7">
        <f>KONTROL!G3*KONTROL!J30</f>
        <v>13865237773908</v>
      </c>
      <c r="H82">
        <f>2015-1993</f>
        <v>22</v>
      </c>
      <c r="I82" s="11">
        <v>31068833</v>
      </c>
      <c r="J82" s="107">
        <v>301354756113.17371</v>
      </c>
      <c r="K82" s="16">
        <v>2.10438980238344</v>
      </c>
      <c r="L82" s="4">
        <f>LN(Table1[[#This Row],[SIZE]])</f>
        <v>30.260405944067273</v>
      </c>
      <c r="M82" s="4">
        <f>LN(Table1[[#This Row],[POP]])</f>
        <v>17.25171572031622</v>
      </c>
      <c r="N82">
        <f>LN(Table1[[#This Row],[PDB]])</f>
        <v>26.431553999439402</v>
      </c>
    </row>
    <row r="83" spans="1:14" x14ac:dyDescent="0.3">
      <c r="A83" s="34" t="s">
        <v>19</v>
      </c>
      <c r="B83" s="22">
        <f>B82+1</f>
        <v>2016</v>
      </c>
      <c r="C83" s="96">
        <v>3</v>
      </c>
      <c r="D83" s="63">
        <v>0.14599999999999999</v>
      </c>
      <c r="E83" s="4">
        <v>12</v>
      </c>
      <c r="F83" s="45">
        <f>42.39%+3.76%+3.06%+0.71%</f>
        <v>0.49920000000000003</v>
      </c>
      <c r="G83" s="8">
        <f>KONTROL!G4*KONTROL!J31</f>
        <v>13980533356230.6</v>
      </c>
      <c r="H83" s="33">
        <f>H82+1</f>
        <v>23</v>
      </c>
      <c r="I83" s="12">
        <v>31526418</v>
      </c>
      <c r="J83" s="105">
        <v>301255454041.41455</v>
      </c>
      <c r="K83" s="17">
        <v>2.0905665952574499</v>
      </c>
      <c r="L83" s="4">
        <f>LN(Table1[[#This Row],[SIZE]])</f>
        <v>30.268687003382048</v>
      </c>
      <c r="M83" s="4">
        <f>LN(Table1[[#This Row],[POP]])</f>
        <v>17.266336418978145</v>
      </c>
      <c r="N83">
        <f>LN(Table1[[#This Row],[PDB]])</f>
        <v>26.43122442628918</v>
      </c>
    </row>
    <row r="84" spans="1:14" x14ac:dyDescent="0.3">
      <c r="A84" s="34" t="s">
        <v>19</v>
      </c>
      <c r="B84" s="22">
        <f>B83+1</f>
        <v>2017</v>
      </c>
      <c r="C84" s="96">
        <v>3</v>
      </c>
      <c r="D84" s="63">
        <v>0.128</v>
      </c>
      <c r="E84" s="4">
        <v>13</v>
      </c>
      <c r="F84" s="45">
        <f>42.39%+3.94%+2.92%+0.81%</f>
        <v>0.50060000000000004</v>
      </c>
      <c r="G84" s="8">
        <f>KONTROL!G5*KONTROL!J32</f>
        <v>15833567075505.5</v>
      </c>
      <c r="H84">
        <f>H83+1</f>
        <v>24</v>
      </c>
      <c r="I84" s="12">
        <v>31975806</v>
      </c>
      <c r="J84" s="105">
        <v>319112175611.57104</v>
      </c>
      <c r="K84" s="17">
        <v>3.8712011577424001</v>
      </c>
      <c r="L84" s="4">
        <f>LN(Table1[[#This Row],[SIZE]])</f>
        <v>30.393153300855573</v>
      </c>
      <c r="M84" s="4">
        <f>LN(Table1[[#This Row],[POP]])</f>
        <v>17.280490112304605</v>
      </c>
      <c r="N84">
        <f>LN(Table1[[#This Row],[PDB]])</f>
        <v>26.488808525602874</v>
      </c>
    </row>
    <row r="85" spans="1:14" x14ac:dyDescent="0.3">
      <c r="A85" s="34" t="s">
        <v>19</v>
      </c>
      <c r="B85" s="22">
        <f>B84+1</f>
        <v>2018</v>
      </c>
      <c r="C85" s="96">
        <v>3</v>
      </c>
      <c r="D85" s="63">
        <v>0.105</v>
      </c>
      <c r="E85" s="4">
        <v>13</v>
      </c>
      <c r="F85" s="45">
        <f>42.39%+3.39%+2.92%+0.8%</f>
        <v>0.495</v>
      </c>
      <c r="G85" s="8">
        <f>KONTROL!G6*KONTROL!J33</f>
        <v>17855762614508</v>
      </c>
      <c r="H85">
        <f>H84+1</f>
        <v>25</v>
      </c>
      <c r="I85" s="12">
        <v>32399271</v>
      </c>
      <c r="J85" s="105">
        <v>358791603677.72797</v>
      </c>
      <c r="K85" s="17">
        <v>0.88470916057124405</v>
      </c>
      <c r="L85" s="4">
        <f>LN(Table1[[#This Row],[SIZE]])</f>
        <v>30.51334740760068</v>
      </c>
      <c r="M85" s="4">
        <f>LN(Table1[[#This Row],[POP]])</f>
        <v>17.29364648050943</v>
      </c>
      <c r="N85">
        <f>LN(Table1[[#This Row],[PDB]])</f>
        <v>26.606007565736082</v>
      </c>
    </row>
    <row r="86" spans="1:14" x14ac:dyDescent="0.3">
      <c r="A86" s="34" t="s">
        <v>19</v>
      </c>
      <c r="B86" s="22">
        <f>B85+1</f>
        <v>2019</v>
      </c>
      <c r="C86" s="96">
        <v>3</v>
      </c>
      <c r="D86" s="63">
        <v>0.115</v>
      </c>
      <c r="E86" s="4">
        <v>13</v>
      </c>
      <c r="F86" s="45">
        <f>42.39%+4.75%%+2.92%+0.45%</f>
        <v>0.45807500000000001</v>
      </c>
      <c r="G86" s="8">
        <f>KONTROL!G7*KONTROL!J34</f>
        <v>17518258103443.801</v>
      </c>
      <c r="H86">
        <f>H85+1</f>
        <v>26</v>
      </c>
      <c r="I86" s="12">
        <v>32804020</v>
      </c>
      <c r="J86" s="105">
        <v>365175135787.56787</v>
      </c>
      <c r="K86" s="17">
        <v>0.66289186576437598</v>
      </c>
      <c r="L86" s="4">
        <f>LN(Table1[[#This Row],[SIZE]])</f>
        <v>30.49426477317455</v>
      </c>
      <c r="M86" s="4">
        <f>LN(Table1[[#This Row],[POP]])</f>
        <v>17.30606162682</v>
      </c>
      <c r="N86">
        <f>LN(Table1[[#This Row],[PDB]])</f>
        <v>26.62364289952567</v>
      </c>
    </row>
    <row r="87" spans="1:14" x14ac:dyDescent="0.3">
      <c r="A87" s="34" t="s">
        <v>19</v>
      </c>
      <c r="B87" s="22">
        <f>B86+1</f>
        <v>2020</v>
      </c>
      <c r="C87" s="96">
        <v>3</v>
      </c>
      <c r="D87" s="63">
        <v>0.124</v>
      </c>
      <c r="E87" s="4">
        <v>13</v>
      </c>
      <c r="F87" s="45">
        <f>42.39%+5.32%%+2.92%+0.38%+0.37%</f>
        <v>0.46113199999999999</v>
      </c>
      <c r="G87" s="8">
        <f>KONTROL!G8*KONTROL!J35</f>
        <v>18198801313896</v>
      </c>
      <c r="H87" s="33">
        <f>H86+1</f>
        <v>27</v>
      </c>
      <c r="I87" s="12">
        <v>33199993</v>
      </c>
      <c r="J87" s="105">
        <v>337337932675.15167</v>
      </c>
      <c r="K87" s="17">
        <v>-1.13870215393056</v>
      </c>
      <c r="L87" s="4">
        <f>LN(Table1[[#This Row],[SIZE]])</f>
        <v>30.532376845968464</v>
      </c>
      <c r="M87" s="4">
        <f>LN(Table1[[#This Row],[POP]])</f>
        <v>17.318060223043322</v>
      </c>
      <c r="N87">
        <f>LN(Table1[[#This Row],[PDB]])</f>
        <v>26.54435103244527</v>
      </c>
    </row>
    <row r="88" spans="1:14" s="84" customFormat="1" x14ac:dyDescent="0.3">
      <c r="A88" s="40" t="s">
        <v>19</v>
      </c>
      <c r="B88" s="27">
        <f>B87+1</f>
        <v>2021</v>
      </c>
      <c r="C88" s="98">
        <v>3</v>
      </c>
      <c r="D88" s="64">
        <v>0.14899999999999999</v>
      </c>
      <c r="E88" s="5">
        <v>15</v>
      </c>
      <c r="F88" s="46">
        <f>40.04%+5.53%+2.92%+0.79%+0.38%</f>
        <v>0.49660000000000004</v>
      </c>
      <c r="G88" s="10">
        <f>KONTROL!G9*KONTROL!J36</f>
        <v>18698249472210</v>
      </c>
      <c r="H88" s="5">
        <f>H87+1</f>
        <v>28</v>
      </c>
      <c r="I88" s="13">
        <v>33573874</v>
      </c>
      <c r="J88" s="106">
        <v>372980957208.02258</v>
      </c>
      <c r="K88" s="18">
        <v>2.47710241465444</v>
      </c>
      <c r="L88" s="5">
        <f>LN(Table1[[#This Row],[SIZE]])</f>
        <v>30.55945102429553</v>
      </c>
      <c r="M88" s="5">
        <f>LN(Table1[[#This Row],[POP]])</f>
        <v>17.329258762953422</v>
      </c>
      <c r="N88" s="84">
        <f>LN(Table1[[#This Row],[PDB]])</f>
        <v>26.644793202225372</v>
      </c>
    </row>
    <row r="89" spans="1:14" x14ac:dyDescent="0.3">
      <c r="A89" s="40" t="s">
        <v>13</v>
      </c>
      <c r="B89" s="27">
        <v>2021</v>
      </c>
      <c r="C89" s="98">
        <v>3</v>
      </c>
      <c r="D89" s="64">
        <v>3.9E-2</v>
      </c>
      <c r="E89" s="5">
        <v>9</v>
      </c>
      <c r="F89" s="46">
        <f>15.62%+18.36%+7.53%+2.47%+0.88%</f>
        <v>0.4486</v>
      </c>
      <c r="G89" s="8">
        <f>KONTROL!G9*KONTROL!L36</f>
        <v>41040642850200</v>
      </c>
      <c r="H89" s="5">
        <v>38</v>
      </c>
      <c r="I89" s="13">
        <v>33573874</v>
      </c>
      <c r="J89" s="106">
        <v>372980957208.02258</v>
      </c>
      <c r="K89" s="18">
        <v>2.47710241465444</v>
      </c>
      <c r="L89" s="4">
        <f>LN(Table1[[#This Row],[SIZE]])</f>
        <v>31.345583980659612</v>
      </c>
      <c r="M89" s="4">
        <f>LN(Table1[[#This Row],[POP]])</f>
        <v>17.329258762953422</v>
      </c>
      <c r="N89">
        <f>LN(Table1[[#This Row],[PDB]])</f>
        <v>26.644793202225372</v>
      </c>
    </row>
  </sheetData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activeCell="L30" sqref="L30:L36"/>
    </sheetView>
  </sheetViews>
  <sheetFormatPr defaultRowHeight="14.4" x14ac:dyDescent="0.3"/>
  <cols>
    <col min="1" max="1" width="10.109375" customWidth="1"/>
    <col min="2" max="2" width="13.44140625" customWidth="1"/>
    <col min="3" max="3" width="20" customWidth="1"/>
    <col min="4" max="4" width="8.88671875" style="14"/>
    <col min="6" max="6" width="14" customWidth="1"/>
    <col min="7" max="7" width="10.109375" bestFit="1" customWidth="1"/>
    <col min="8" max="8" width="17.33203125" customWidth="1"/>
    <col min="10" max="10" width="14.44140625" customWidth="1"/>
    <col min="12" max="12" width="15.21875" customWidth="1"/>
    <col min="14" max="14" width="16.88671875" customWidth="1"/>
  </cols>
  <sheetData>
    <row r="1" spans="1:14" x14ac:dyDescent="0.3">
      <c r="A1" t="s">
        <v>6</v>
      </c>
      <c r="F1" t="s">
        <v>28</v>
      </c>
      <c r="G1" t="s">
        <v>29</v>
      </c>
      <c r="I1" t="s">
        <v>28</v>
      </c>
      <c r="J1" t="s">
        <v>30</v>
      </c>
    </row>
    <row r="2" spans="1:14" x14ac:dyDescent="0.3">
      <c r="A2" s="2" t="s">
        <v>1</v>
      </c>
      <c r="B2" s="3" t="s">
        <v>2</v>
      </c>
      <c r="C2" s="1" t="s">
        <v>3</v>
      </c>
      <c r="D2" s="15" t="s">
        <v>4</v>
      </c>
      <c r="F2" s="2" t="s">
        <v>1</v>
      </c>
      <c r="G2" s="2"/>
      <c r="I2" s="2" t="s">
        <v>1</v>
      </c>
      <c r="J2" s="2"/>
    </row>
    <row r="3" spans="1:14" x14ac:dyDescent="0.3">
      <c r="A3" s="4">
        <v>2015</v>
      </c>
      <c r="B3" s="7">
        <v>2555875000</v>
      </c>
      <c r="C3" s="11">
        <v>860854235065.07898</v>
      </c>
      <c r="D3" s="16">
        <v>6.3631211311561398</v>
      </c>
      <c r="F3" s="4">
        <v>2015</v>
      </c>
      <c r="G3" s="7">
        <v>3440.8856000000001</v>
      </c>
      <c r="I3" s="4">
        <v>2015</v>
      </c>
      <c r="J3" s="7">
        <v>1727.3224</v>
      </c>
    </row>
    <row r="4" spans="1:14" x14ac:dyDescent="0.3">
      <c r="A4" s="4">
        <f>A3+1</f>
        <v>2016</v>
      </c>
      <c r="B4" s="8">
        <v>2584965000</v>
      </c>
      <c r="C4" s="12">
        <v>931877364177.7417</v>
      </c>
      <c r="D4" s="17">
        <v>3.5258051568792999</v>
      </c>
      <c r="F4" s="4">
        <f>F3+1</f>
        <v>2016</v>
      </c>
      <c r="G4" s="8">
        <v>3214.5978</v>
      </c>
      <c r="I4" s="4">
        <f>I3+1</f>
        <v>2016</v>
      </c>
      <c r="J4" s="8">
        <v>1713.914</v>
      </c>
    </row>
    <row r="5" spans="1:14" x14ac:dyDescent="0.3">
      <c r="A5" s="4">
        <f t="shared" ref="A5:A8" si="0">A4+1</f>
        <v>2017</v>
      </c>
      <c r="B5" s="8">
        <v>2613555000</v>
      </c>
      <c r="C5" s="12">
        <v>1015618742565.8127</v>
      </c>
      <c r="D5" s="17">
        <v>3.8087980695316301</v>
      </c>
      <c r="F5" s="4">
        <f t="shared" ref="F5:F8" si="1">F4+1</f>
        <v>2017</v>
      </c>
      <c r="G5" s="8">
        <v>3114.4045000000001</v>
      </c>
      <c r="I5" s="4">
        <f t="shared" ref="I5:I8" si="2">I4+1</f>
        <v>2017</v>
      </c>
      <c r="J5" s="8">
        <v>1716.7844</v>
      </c>
    </row>
    <row r="6" spans="1:14" x14ac:dyDescent="0.3">
      <c r="A6" s="4">
        <f t="shared" si="0"/>
        <v>2018</v>
      </c>
      <c r="B6" s="8">
        <v>2641616000</v>
      </c>
      <c r="C6" s="12">
        <v>1042271531011.9897</v>
      </c>
      <c r="D6" s="17">
        <v>3.19834641562404</v>
      </c>
      <c r="F6" s="4">
        <f t="shared" si="1"/>
        <v>2018</v>
      </c>
      <c r="G6" s="8">
        <v>3509.7874000000002</v>
      </c>
      <c r="I6" s="4">
        <f t="shared" si="2"/>
        <v>2018</v>
      </c>
      <c r="J6" s="8">
        <v>1807.6460999999999</v>
      </c>
    </row>
    <row r="7" spans="1:14" x14ac:dyDescent="0.3">
      <c r="A7" s="4">
        <f t="shared" si="0"/>
        <v>2019</v>
      </c>
      <c r="B7" s="8">
        <v>2669119000</v>
      </c>
      <c r="C7" s="12">
        <v>1119099868265.2468</v>
      </c>
      <c r="D7" s="17">
        <v>3.0305866496949099</v>
      </c>
      <c r="F7" s="4">
        <f t="shared" si="1"/>
        <v>2019</v>
      </c>
      <c r="G7" s="8">
        <v>3413.3973000000001</v>
      </c>
      <c r="I7" s="4">
        <f t="shared" si="2"/>
        <v>2019</v>
      </c>
      <c r="J7" s="8">
        <v>1804.2456999999999</v>
      </c>
    </row>
    <row r="8" spans="1:14" x14ac:dyDescent="0.3">
      <c r="A8" s="4">
        <f t="shared" si="0"/>
        <v>2020</v>
      </c>
      <c r="B8" s="9">
        <v>2702039000</v>
      </c>
      <c r="C8" s="12">
        <v>1058688935454.7823</v>
      </c>
      <c r="D8" s="17">
        <v>1.9209680056684499</v>
      </c>
      <c r="F8" s="4">
        <f t="shared" si="1"/>
        <v>2020</v>
      </c>
      <c r="G8" s="8">
        <v>3458.7645000000002</v>
      </c>
      <c r="I8" s="4">
        <f t="shared" si="2"/>
        <v>2020</v>
      </c>
      <c r="J8" s="8">
        <v>1873.8584000000001</v>
      </c>
    </row>
    <row r="9" spans="1:14" x14ac:dyDescent="0.3">
      <c r="A9" s="5">
        <f>A8+1</f>
        <v>2021</v>
      </c>
      <c r="B9" s="10">
        <v>2726825000</v>
      </c>
      <c r="C9" s="13">
        <v>1186092991320.0376</v>
      </c>
      <c r="D9" s="18">
        <v>1.56012990525685</v>
      </c>
      <c r="F9" s="5">
        <f>F8+1</f>
        <v>2021</v>
      </c>
      <c r="G9" s="10">
        <v>3452.8557000000001</v>
      </c>
      <c r="I9" s="5">
        <f>I8+1</f>
        <v>2021</v>
      </c>
      <c r="J9" s="10">
        <v>1840.8242</v>
      </c>
    </row>
    <row r="11" spans="1:14" x14ac:dyDescent="0.3">
      <c r="A11" t="s">
        <v>7</v>
      </c>
      <c r="F11" s="67" t="s">
        <v>15</v>
      </c>
      <c r="H11" s="65" t="s">
        <v>21</v>
      </c>
      <c r="J11" s="75" t="s">
        <v>10</v>
      </c>
      <c r="L11" s="65" t="s">
        <v>27</v>
      </c>
      <c r="N11" s="79" t="s">
        <v>16</v>
      </c>
    </row>
    <row r="12" spans="1:14" x14ac:dyDescent="0.3">
      <c r="A12" s="2" t="s">
        <v>1</v>
      </c>
      <c r="B12" s="3" t="s">
        <v>2</v>
      </c>
      <c r="C12" s="1" t="s">
        <v>3</v>
      </c>
      <c r="D12" s="15" t="s">
        <v>4</v>
      </c>
      <c r="F12" s="71">
        <v>1712135752</v>
      </c>
      <c r="H12" s="72">
        <v>1191858426</v>
      </c>
      <c r="J12" s="71">
        <v>64491748000</v>
      </c>
      <c r="L12" s="66">
        <v>56118000000</v>
      </c>
      <c r="N12" s="76">
        <v>30372592000</v>
      </c>
    </row>
    <row r="13" spans="1:14" x14ac:dyDescent="0.3">
      <c r="A13" s="4">
        <v>2015</v>
      </c>
      <c r="B13" s="11">
        <v>31068833</v>
      </c>
      <c r="C13" s="11">
        <v>301354756113.17371</v>
      </c>
      <c r="D13" s="16">
        <v>2.10438980238344</v>
      </c>
      <c r="F13" s="66">
        <v>3564288000</v>
      </c>
      <c r="H13" s="73">
        <v>957368410</v>
      </c>
      <c r="J13" s="66">
        <v>81047270000</v>
      </c>
      <c r="L13" s="68">
        <v>70489000000</v>
      </c>
      <c r="N13" s="68">
        <v>30263536000</v>
      </c>
    </row>
    <row r="14" spans="1:14" x14ac:dyDescent="0.3">
      <c r="A14" s="4">
        <f>A13+1</f>
        <v>2016</v>
      </c>
      <c r="B14" s="12">
        <v>31526418</v>
      </c>
      <c r="C14" s="12">
        <v>301255454041.41455</v>
      </c>
      <c r="D14" s="17">
        <v>2.0905665952574499</v>
      </c>
      <c r="F14" s="68">
        <v>3938319000</v>
      </c>
      <c r="H14" s="73">
        <v>870890067</v>
      </c>
      <c r="J14" s="68">
        <v>100461072000</v>
      </c>
      <c r="L14" s="66">
        <v>69911000000</v>
      </c>
      <c r="N14" s="66">
        <v>29917997000</v>
      </c>
    </row>
    <row r="15" spans="1:14" x14ac:dyDescent="0.3">
      <c r="A15" s="4">
        <f t="shared" ref="A15:A18" si="3">A14+1</f>
        <v>2017</v>
      </c>
      <c r="B15" s="12">
        <v>31975806</v>
      </c>
      <c r="C15" s="12">
        <v>319112175611.57104</v>
      </c>
      <c r="D15" s="17">
        <v>3.8712011577424001</v>
      </c>
      <c r="F15" s="66">
        <v>4440691000</v>
      </c>
      <c r="H15" s="73">
        <v>624426729</v>
      </c>
      <c r="J15" s="66">
        <v>126380708000</v>
      </c>
      <c r="L15" s="68">
        <v>63855000000</v>
      </c>
      <c r="N15" s="68">
        <v>28982069000</v>
      </c>
    </row>
    <row r="16" spans="1:14" x14ac:dyDescent="0.3">
      <c r="A16" s="4">
        <f t="shared" si="3"/>
        <v>2018</v>
      </c>
      <c r="B16" s="12">
        <v>32399271</v>
      </c>
      <c r="C16" s="12">
        <v>358791603677.72797</v>
      </c>
      <c r="D16" s="17">
        <v>0.88470916057124405</v>
      </c>
      <c r="F16" s="68"/>
      <c r="H16" s="73">
        <v>649030335</v>
      </c>
      <c r="J16" s="68">
        <v>151160926000</v>
      </c>
      <c r="L16" s="66">
        <v>66534000000</v>
      </c>
      <c r="N16" s="66">
        <v>26559925000</v>
      </c>
    </row>
    <row r="17" spans="1:14" x14ac:dyDescent="0.3">
      <c r="A17" s="4">
        <f t="shared" si="3"/>
        <v>2019</v>
      </c>
      <c r="B17" s="12">
        <v>32804020</v>
      </c>
      <c r="C17" s="12">
        <v>365175135787.56787</v>
      </c>
      <c r="D17" s="17">
        <v>0.66289186576437598</v>
      </c>
      <c r="F17" s="66">
        <v>4506226000</v>
      </c>
      <c r="H17" s="73">
        <v>473895550</v>
      </c>
      <c r="J17" s="66">
        <v>174401121000</v>
      </c>
      <c r="L17" s="68">
        <v>67962000000</v>
      </c>
      <c r="N17" s="68">
        <v>24188723000</v>
      </c>
    </row>
    <row r="18" spans="1:14" x14ac:dyDescent="0.3">
      <c r="A18" s="4">
        <f t="shared" si="3"/>
        <v>2020</v>
      </c>
      <c r="B18" s="12">
        <v>33199993</v>
      </c>
      <c r="C18" s="12">
        <v>337337932675.15167</v>
      </c>
      <c r="D18" s="17">
        <v>-1.13870215393056</v>
      </c>
      <c r="F18" s="69">
        <v>4362954000</v>
      </c>
      <c r="H18" s="74"/>
      <c r="J18" s="69">
        <v>183623186000</v>
      </c>
      <c r="L18" s="70">
        <v>72550000000</v>
      </c>
      <c r="N18" s="70">
        <v>23082674000</v>
      </c>
    </row>
    <row r="19" spans="1:14" x14ac:dyDescent="0.3">
      <c r="A19" s="5">
        <f>A18+1</f>
        <v>2021</v>
      </c>
      <c r="B19" s="13">
        <v>33573874</v>
      </c>
      <c r="C19" s="13">
        <v>372980957208.02258</v>
      </c>
      <c r="D19" s="18">
        <v>2.47710241465444</v>
      </c>
    </row>
    <row r="20" spans="1:14" x14ac:dyDescent="0.3">
      <c r="F20" s="65" t="s">
        <v>20</v>
      </c>
      <c r="H20" s="67" t="s">
        <v>18</v>
      </c>
      <c r="J20" s="77" t="s">
        <v>24</v>
      </c>
      <c r="L20" s="78" t="s">
        <v>25</v>
      </c>
      <c r="N20" s="82" t="s">
        <v>17</v>
      </c>
    </row>
    <row r="21" spans="1:14" x14ac:dyDescent="0.3">
      <c r="A21" t="s">
        <v>8</v>
      </c>
      <c r="F21" s="76">
        <v>2091775000</v>
      </c>
      <c r="H21" s="71">
        <v>606417000</v>
      </c>
      <c r="J21" s="76">
        <v>47466900000</v>
      </c>
      <c r="L21" s="71">
        <v>3670850000</v>
      </c>
      <c r="N21" s="71">
        <v>4320094000</v>
      </c>
    </row>
    <row r="22" spans="1:14" x14ac:dyDescent="0.3">
      <c r="A22" s="2" t="s">
        <v>1</v>
      </c>
      <c r="B22" s="3" t="s">
        <v>2</v>
      </c>
      <c r="C22" s="1" t="s">
        <v>3</v>
      </c>
      <c r="D22" s="15" t="s">
        <v>4</v>
      </c>
      <c r="F22" s="68">
        <v>2225416000</v>
      </c>
      <c r="H22" s="66">
        <v>682719000</v>
      </c>
      <c r="J22" s="68">
        <v>132902200000</v>
      </c>
      <c r="L22" s="66">
        <v>3991687000</v>
      </c>
      <c r="N22" s="66">
        <v>3602521000</v>
      </c>
    </row>
    <row r="23" spans="1:14" x14ac:dyDescent="0.3">
      <c r="A23" s="4">
        <v>2015</v>
      </c>
      <c r="B23" s="11">
        <v>1362142</v>
      </c>
      <c r="C23" s="7">
        <v>31050638297.872341</v>
      </c>
      <c r="D23" s="16">
        <v>1.8486274237497999</v>
      </c>
      <c r="F23" s="66">
        <v>2304938000</v>
      </c>
      <c r="H23" s="68">
        <v>909702000</v>
      </c>
      <c r="J23" s="66">
        <v>142012400000</v>
      </c>
      <c r="L23" s="68">
        <v>9347104000</v>
      </c>
      <c r="N23" s="68">
        <v>3384716000</v>
      </c>
    </row>
    <row r="24" spans="1:14" x14ac:dyDescent="0.3">
      <c r="A24" s="4">
        <f>A23+1</f>
        <v>2016</v>
      </c>
      <c r="B24" s="12">
        <v>1409661</v>
      </c>
      <c r="C24" s="8">
        <v>32234973404.255318</v>
      </c>
      <c r="D24" s="17">
        <v>2.78679347602047</v>
      </c>
      <c r="F24" s="68">
        <v>2520554000</v>
      </c>
      <c r="H24" s="66">
        <v>951503000</v>
      </c>
      <c r="J24" s="68">
        <v>153695000000</v>
      </c>
      <c r="L24" s="66">
        <v>9728782000</v>
      </c>
      <c r="N24" s="66">
        <v>3181193000</v>
      </c>
    </row>
    <row r="25" spans="1:14" x14ac:dyDescent="0.3">
      <c r="A25" s="4">
        <f t="shared" ref="A25:A28" si="4">A24+1</f>
        <v>2017</v>
      </c>
      <c r="B25" s="12">
        <v>1456834</v>
      </c>
      <c r="C25" s="8">
        <v>35473776595.744682</v>
      </c>
      <c r="D25" s="17">
        <v>1.38671830576397</v>
      </c>
      <c r="F25" s="66">
        <v>2622064000</v>
      </c>
      <c r="H25" s="68">
        <v>797119000</v>
      </c>
      <c r="J25" s="66">
        <v>178847200000</v>
      </c>
      <c r="L25" s="68">
        <v>10701597000</v>
      </c>
      <c r="N25" s="68">
        <v>3217977000</v>
      </c>
    </row>
    <row r="26" spans="1:14" x14ac:dyDescent="0.3">
      <c r="A26" s="4">
        <f t="shared" si="4"/>
        <v>2018</v>
      </c>
      <c r="B26" s="12">
        <v>1487340</v>
      </c>
      <c r="C26" s="8">
        <v>37802005319.148933</v>
      </c>
      <c r="D26" s="17">
        <v>2.0876693804698299</v>
      </c>
      <c r="F26" s="68">
        <v>2657043000</v>
      </c>
      <c r="H26" s="66">
        <v>748781000</v>
      </c>
      <c r="J26" s="68">
        <v>181433300000</v>
      </c>
      <c r="L26" s="66">
        <v>10432756000</v>
      </c>
      <c r="N26" s="66">
        <v>3146351000</v>
      </c>
    </row>
    <row r="27" spans="1:14" x14ac:dyDescent="0.3">
      <c r="A27" s="4">
        <f t="shared" si="4"/>
        <v>2019</v>
      </c>
      <c r="B27" s="12">
        <v>1494188</v>
      </c>
      <c r="C27" s="8">
        <v>38653318085.106384</v>
      </c>
      <c r="D27" s="17">
        <v>1.0058200470213201</v>
      </c>
      <c r="F27" s="70">
        <v>2868427000</v>
      </c>
      <c r="H27" s="69">
        <v>848492000</v>
      </c>
      <c r="J27" s="70">
        <v>182600600000</v>
      </c>
      <c r="L27" s="69">
        <v>11217639000</v>
      </c>
      <c r="N27" s="69">
        <v>3390067000</v>
      </c>
    </row>
    <row r="28" spans="1:14" x14ac:dyDescent="0.3">
      <c r="A28" s="4">
        <f t="shared" si="4"/>
        <v>2020</v>
      </c>
      <c r="B28" s="12">
        <v>1477469</v>
      </c>
      <c r="C28" s="8">
        <v>34723357446.80851</v>
      </c>
      <c r="D28" s="17">
        <v>-2.3177062933137398</v>
      </c>
    </row>
    <row r="29" spans="1:14" x14ac:dyDescent="0.3">
      <c r="A29" s="5">
        <f>A28+1</f>
        <v>2021</v>
      </c>
      <c r="B29" s="13">
        <v>1463265</v>
      </c>
      <c r="C29" s="10">
        <v>38868663031.914894</v>
      </c>
      <c r="D29" s="18">
        <v>-0.60631938514089601</v>
      </c>
      <c r="F29" s="79" t="s">
        <v>14</v>
      </c>
      <c r="H29" s="78" t="s">
        <v>26</v>
      </c>
      <c r="J29" s="79" t="s">
        <v>19</v>
      </c>
      <c r="L29" s="82" t="s">
        <v>13</v>
      </c>
    </row>
    <row r="30" spans="1:14" x14ac:dyDescent="0.3">
      <c r="F30" s="76">
        <v>8070605000</v>
      </c>
      <c r="H30" s="71">
        <v>3593516000</v>
      </c>
      <c r="J30" s="76">
        <v>4029555000</v>
      </c>
      <c r="L30" s="71">
        <v>2488216000</v>
      </c>
    </row>
    <row r="31" spans="1:14" x14ac:dyDescent="0.3">
      <c r="F31" s="68">
        <v>9364913000</v>
      </c>
      <c r="H31" s="66">
        <v>3206598000</v>
      </c>
      <c r="J31" s="68">
        <v>4349077000</v>
      </c>
      <c r="L31" s="66">
        <v>4839810000</v>
      </c>
    </row>
    <row r="32" spans="1:14" x14ac:dyDescent="0.3">
      <c r="F32" s="66">
        <v>9748233000</v>
      </c>
      <c r="H32" s="68">
        <v>2732650000</v>
      </c>
      <c r="J32" s="66">
        <v>5083979000</v>
      </c>
      <c r="L32" s="68">
        <v>6290329000</v>
      </c>
    </row>
    <row r="33" spans="6:12" x14ac:dyDescent="0.3">
      <c r="F33" s="68">
        <v>9170785000</v>
      </c>
      <c r="H33" s="66">
        <v>3335573000</v>
      </c>
      <c r="J33" s="68">
        <v>5087420000</v>
      </c>
      <c r="L33" s="66">
        <v>6450419000</v>
      </c>
    </row>
    <row r="34" spans="6:12" x14ac:dyDescent="0.3">
      <c r="F34" s="66">
        <v>9996252000</v>
      </c>
      <c r="H34" s="68">
        <v>3040324000</v>
      </c>
      <c r="J34" s="66">
        <v>5132206000</v>
      </c>
      <c r="L34" s="68">
        <v>8083300000</v>
      </c>
    </row>
    <row r="35" spans="6:12" x14ac:dyDescent="0.3">
      <c r="F35" s="68">
        <v>8359630000</v>
      </c>
      <c r="H35" s="66">
        <v>2363266000</v>
      </c>
      <c r="J35" s="68">
        <v>5261648000</v>
      </c>
      <c r="L35" s="66">
        <v>9515405000</v>
      </c>
    </row>
    <row r="36" spans="6:12" x14ac:dyDescent="0.3">
      <c r="F36" s="70">
        <v>9600803000</v>
      </c>
      <c r="H36" s="69">
        <v>3281183000</v>
      </c>
      <c r="J36" s="70">
        <v>5415300000</v>
      </c>
      <c r="L36" s="69">
        <v>11886000000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KONTROL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ZEIN</dc:creator>
  <cp:lastModifiedBy>ZEIN</cp:lastModifiedBy>
  <dcterms:created xsi:type="dcterms:W3CDTF">2023-05-27T13:00:47Z</dcterms:created>
  <dcterms:modified xsi:type="dcterms:W3CDTF">2023-07-13T04:14:44Z</dcterms:modified>
</cp:coreProperties>
</file>