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PERENCANAAN\REALISASI 2020-2023\"/>
    </mc:Choice>
  </mc:AlternateContent>
  <xr:revisionPtr revIDLastSave="0" documentId="13_ncr:1_{C849CD5C-1A8C-4A90-B877-D8645B197FCF}" xr6:coauthVersionLast="47" xr6:coauthVersionMax="47" xr10:uidLastSave="{00000000-0000-0000-0000-000000000000}"/>
  <bookViews>
    <workbookView xWindow="9510" yWindow="0" windowWidth="9780" windowHeight="10170" firstSheet="3" activeTab="3" xr2:uid="{00000000-000D-0000-FFFF-FFFF00000000}"/>
  </bookViews>
  <sheets>
    <sheet name="Perkanal Jakpus 2023" sheetId="11" r:id="rId1"/>
    <sheet name="Perkanal Jakut 2023" sheetId="12" r:id="rId2"/>
    <sheet name="Perkanal Jakbar 2023" sheetId="13" r:id="rId3"/>
    <sheet name="Perkanal Jaksel 2023" sheetId="14" r:id="rId4"/>
    <sheet name="Perkanal Jaktim 2023" sheetId="15" r:id="rId5"/>
    <sheet name="Perkanal P1000 2023" sheetId="16" r:id="rId6"/>
    <sheet name="TKD+Non_2019-2023" sheetId="1" r:id="rId7"/>
    <sheet name="TKD_2019-2023" sheetId="2" r:id="rId8"/>
    <sheet name="Per Wilayah" sheetId="9" r:id="rId9"/>
    <sheet name="Perkanal Prov &amp; Wil" sheetId="3" r:id="rId10"/>
    <sheet name="TKD-Non" sheetId="4" r:id="rId11"/>
    <sheet name="rekap TKD" sheetId="5" r:id="rId12"/>
    <sheet name="Wilayah" sheetId="6" r:id="rId13"/>
    <sheet name="Divisi" sheetId="7" r:id="rId14"/>
    <sheet name="penjumlahan" sheetId="8" r:id="rId15"/>
    <sheet name="Sheet2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XlKbwGFkLnhQJzwwu49r15w9M5fagkuZNnarBcqyPMM="/>
    </ext>
  </extLst>
</workbook>
</file>

<file path=xl/calcChain.xml><?xml version="1.0" encoding="utf-8"?>
<calcChain xmlns="http://schemas.openxmlformats.org/spreadsheetml/2006/main">
  <c r="L14" i="14" l="1"/>
  <c r="L15" i="14"/>
  <c r="L4" i="14"/>
  <c r="K14" i="14"/>
  <c r="K15" i="14"/>
  <c r="K4" i="14"/>
  <c r="J14" i="14"/>
  <c r="J19" i="14" s="1"/>
  <c r="J15" i="14"/>
  <c r="P6" i="14"/>
  <c r="Q6" i="14" s="1"/>
  <c r="J4" i="14"/>
  <c r="O14" i="16"/>
  <c r="O15" i="16"/>
  <c r="O4" i="16"/>
  <c r="K4" i="16"/>
  <c r="N15" i="16"/>
  <c r="N4" i="16"/>
  <c r="M15" i="16"/>
  <c r="L15" i="16"/>
  <c r="L4" i="16"/>
  <c r="J18" i="16"/>
  <c r="J4" i="16"/>
  <c r="I18" i="16"/>
  <c r="I4" i="16"/>
  <c r="H15" i="16"/>
  <c r="H14" i="16"/>
  <c r="H5" i="16"/>
  <c r="H4" i="16"/>
  <c r="G9" i="16"/>
  <c r="G11" i="16" s="1"/>
  <c r="G14" i="16"/>
  <c r="G15" i="16"/>
  <c r="G17" i="16"/>
  <c r="G10" i="16"/>
  <c r="G5" i="16"/>
  <c r="G4" i="16"/>
  <c r="F5" i="16"/>
  <c r="F4" i="16"/>
  <c r="E4" i="16"/>
  <c r="D15" i="16"/>
  <c r="D14" i="16"/>
  <c r="D6" i="16"/>
  <c r="D4" i="16"/>
  <c r="M15" i="15"/>
  <c r="L15" i="15"/>
  <c r="G15" i="15"/>
  <c r="O15" i="15"/>
  <c r="O14" i="15"/>
  <c r="P14" i="15" s="1"/>
  <c r="O18" i="15"/>
  <c r="O17" i="15"/>
  <c r="O6" i="15"/>
  <c r="O11" i="15" s="1"/>
  <c r="O4" i="15"/>
  <c r="N15" i="15"/>
  <c r="N14" i="15"/>
  <c r="N18" i="15"/>
  <c r="N4" i="15"/>
  <c r="M14" i="15"/>
  <c r="M19" i="15"/>
  <c r="M20" i="15" s="1"/>
  <c r="M18" i="15"/>
  <c r="M4" i="15"/>
  <c r="L14" i="15"/>
  <c r="L4" i="15"/>
  <c r="L11" i="15" s="1"/>
  <c r="K15" i="15"/>
  <c r="K9" i="15"/>
  <c r="K18" i="15"/>
  <c r="K6" i="15"/>
  <c r="K14" i="15"/>
  <c r="K19" i="15" s="1"/>
  <c r="K4" i="15"/>
  <c r="J14" i="15"/>
  <c r="J15" i="15"/>
  <c r="J4" i="15"/>
  <c r="I14" i="15"/>
  <c r="I15" i="15"/>
  <c r="I19" i="15"/>
  <c r="I18" i="15"/>
  <c r="I4" i="15"/>
  <c r="H14" i="15"/>
  <c r="H15" i="15"/>
  <c r="H19" i="15"/>
  <c r="H6" i="15"/>
  <c r="H4" i="15"/>
  <c r="G14" i="15"/>
  <c r="G5" i="15"/>
  <c r="G9" i="15"/>
  <c r="G6" i="15"/>
  <c r="G4" i="15"/>
  <c r="F14" i="15"/>
  <c r="F15" i="15"/>
  <c r="F9" i="15"/>
  <c r="P9" i="15" s="1"/>
  <c r="Q9" i="15" s="1"/>
  <c r="F5" i="15"/>
  <c r="F4" i="15"/>
  <c r="E15" i="15"/>
  <c r="E14" i="15"/>
  <c r="E4" i="15"/>
  <c r="D14" i="15"/>
  <c r="D15" i="15"/>
  <c r="D4" i="15"/>
  <c r="I14" i="14"/>
  <c r="I15" i="14"/>
  <c r="I18" i="14"/>
  <c r="I4" i="14"/>
  <c r="H21" i="14"/>
  <c r="H15" i="14"/>
  <c r="H14" i="14"/>
  <c r="H6" i="14"/>
  <c r="H4" i="14"/>
  <c r="G6" i="14"/>
  <c r="G14" i="14"/>
  <c r="G15" i="14"/>
  <c r="G9" i="14"/>
  <c r="G4" i="14"/>
  <c r="G11" i="14" s="1"/>
  <c r="F15" i="14"/>
  <c r="F14" i="14"/>
  <c r="F9" i="14"/>
  <c r="F6" i="14"/>
  <c r="F4" i="14"/>
  <c r="E14" i="14"/>
  <c r="E15" i="14"/>
  <c r="E19" i="14"/>
  <c r="E6" i="14"/>
  <c r="E4" i="14"/>
  <c r="D14" i="14"/>
  <c r="D15" i="14"/>
  <c r="D4" i="14"/>
  <c r="D11" i="14" s="1"/>
  <c r="O19" i="16"/>
  <c r="O20" i="16" s="1"/>
  <c r="N19" i="16"/>
  <c r="M19" i="16"/>
  <c r="L19" i="16"/>
  <c r="K19" i="16"/>
  <c r="J19" i="16"/>
  <c r="I19" i="16"/>
  <c r="H19" i="16"/>
  <c r="G19" i="16"/>
  <c r="F19" i="16"/>
  <c r="E19" i="16"/>
  <c r="D19" i="16"/>
  <c r="C19" i="16"/>
  <c r="P18" i="16"/>
  <c r="Q18" i="16" s="1"/>
  <c r="P17" i="16"/>
  <c r="Q17" i="16" s="1"/>
  <c r="P16" i="16"/>
  <c r="P15" i="16"/>
  <c r="Q15" i="16" s="1"/>
  <c r="P14" i="16"/>
  <c r="Q14" i="16" s="1"/>
  <c r="O11" i="16"/>
  <c r="N11" i="16"/>
  <c r="M11" i="16"/>
  <c r="L11" i="16"/>
  <c r="K11" i="16"/>
  <c r="K20" i="16" s="1"/>
  <c r="J11" i="16"/>
  <c r="I11" i="16"/>
  <c r="I20" i="16" s="1"/>
  <c r="H11" i="16"/>
  <c r="H20" i="16" s="1"/>
  <c r="F11" i="16"/>
  <c r="F20" i="16" s="1"/>
  <c r="D11" i="16"/>
  <c r="C11" i="16"/>
  <c r="C20" i="16" s="1"/>
  <c r="P10" i="16"/>
  <c r="Q10" i="16" s="1"/>
  <c r="P9" i="16"/>
  <c r="P8" i="16"/>
  <c r="Q8" i="16" s="1"/>
  <c r="P7" i="16"/>
  <c r="P6" i="16"/>
  <c r="Q6" i="16" s="1"/>
  <c r="P5" i="16"/>
  <c r="Q5" i="16" s="1"/>
  <c r="L19" i="15"/>
  <c r="F19" i="15"/>
  <c r="E19" i="15"/>
  <c r="D19" i="15"/>
  <c r="C19" i="15"/>
  <c r="C20" i="15" s="1"/>
  <c r="P18" i="15"/>
  <c r="Q18" i="15" s="1"/>
  <c r="P17" i="15"/>
  <c r="Q17" i="15" s="1"/>
  <c r="P16" i="15"/>
  <c r="Q16" i="15" s="1"/>
  <c r="N11" i="15"/>
  <c r="M11" i="15"/>
  <c r="K11" i="15"/>
  <c r="J11" i="15"/>
  <c r="I11" i="15"/>
  <c r="H11" i="15"/>
  <c r="G11" i="15"/>
  <c r="F11" i="15"/>
  <c r="E11" i="15"/>
  <c r="D11" i="15"/>
  <c r="C11" i="15"/>
  <c r="P10" i="15"/>
  <c r="Q10" i="15" s="1"/>
  <c r="P8" i="15"/>
  <c r="Q8" i="15" s="1"/>
  <c r="P7" i="15"/>
  <c r="P6" i="15"/>
  <c r="Q6" i="15" s="1"/>
  <c r="P5" i="15"/>
  <c r="Q5" i="15" s="1"/>
  <c r="P16" i="14"/>
  <c r="Q16" i="14" s="1"/>
  <c r="P17" i="14"/>
  <c r="P18" i="14"/>
  <c r="Q18" i="14" s="1"/>
  <c r="O19" i="14"/>
  <c r="N19" i="14"/>
  <c r="M19" i="14"/>
  <c r="G19" i="14"/>
  <c r="D19" i="14"/>
  <c r="C19" i="14"/>
  <c r="C20" i="14" s="1"/>
  <c r="Q17" i="14"/>
  <c r="C11" i="14"/>
  <c r="P10" i="14"/>
  <c r="Q10" i="14" s="1"/>
  <c r="P9" i="14"/>
  <c r="S9" i="14" s="1"/>
  <c r="P8" i="14"/>
  <c r="Q8" i="14" s="1"/>
  <c r="P7" i="14"/>
  <c r="P5" i="14"/>
  <c r="Q5" i="14" s="1"/>
  <c r="O11" i="14"/>
  <c r="O20" i="14" s="1"/>
  <c r="N11" i="14"/>
  <c r="N20" i="14" s="1"/>
  <c r="N21" i="14" s="1"/>
  <c r="M11" i="14"/>
  <c r="L11" i="14"/>
  <c r="K11" i="14"/>
  <c r="I11" i="14"/>
  <c r="H11" i="14"/>
  <c r="F11" i="14"/>
  <c r="E11" i="14"/>
  <c r="O14" i="13"/>
  <c r="O15" i="13"/>
  <c r="O19" i="13"/>
  <c r="O4" i="13"/>
  <c r="N15" i="13"/>
  <c r="N14" i="13"/>
  <c r="N19" i="13"/>
  <c r="N4" i="13"/>
  <c r="N11" i="13" s="1"/>
  <c r="M15" i="13"/>
  <c r="M14" i="13"/>
  <c r="M19" i="13"/>
  <c r="M4" i="13"/>
  <c r="L20" i="13"/>
  <c r="L15" i="13"/>
  <c r="L14" i="13"/>
  <c r="L19" i="13" s="1"/>
  <c r="L4" i="13"/>
  <c r="L11" i="13" s="1"/>
  <c r="K14" i="13"/>
  <c r="K19" i="13" s="1"/>
  <c r="K20" i="13" s="1"/>
  <c r="K15" i="13"/>
  <c r="K4" i="13"/>
  <c r="J18" i="13"/>
  <c r="J14" i="13"/>
  <c r="J15" i="13"/>
  <c r="J6" i="13"/>
  <c r="J4" i="13"/>
  <c r="I14" i="13"/>
  <c r="I15" i="13"/>
  <c r="I19" i="13" s="1"/>
  <c r="I4" i="13"/>
  <c r="H14" i="13"/>
  <c r="H15" i="13"/>
  <c r="H19" i="13"/>
  <c r="H4" i="13"/>
  <c r="G15" i="13"/>
  <c r="G14" i="13"/>
  <c r="G9" i="13"/>
  <c r="P9" i="13" s="1"/>
  <c r="S9" i="13" s="1"/>
  <c r="G6" i="13"/>
  <c r="G5" i="13"/>
  <c r="G4" i="13"/>
  <c r="F14" i="13"/>
  <c r="F15" i="13"/>
  <c r="F19" i="13"/>
  <c r="F5" i="13"/>
  <c r="F4" i="13"/>
  <c r="E14" i="13"/>
  <c r="E15" i="13"/>
  <c r="E4" i="13"/>
  <c r="E11" i="13" s="1"/>
  <c r="E20" i="13" s="1"/>
  <c r="D20" i="13"/>
  <c r="D14" i="13"/>
  <c r="D15" i="13"/>
  <c r="D4" i="13"/>
  <c r="C20" i="13"/>
  <c r="J19" i="13"/>
  <c r="E19" i="13"/>
  <c r="C19" i="13"/>
  <c r="P18" i="13"/>
  <c r="Q18" i="13" s="1"/>
  <c r="P17" i="13"/>
  <c r="Q17" i="13" s="1"/>
  <c r="P16" i="13"/>
  <c r="Q16" i="13" s="1"/>
  <c r="D19" i="13"/>
  <c r="O11" i="13"/>
  <c r="M11" i="13"/>
  <c r="K11" i="13"/>
  <c r="J11" i="13"/>
  <c r="I11" i="13"/>
  <c r="H11" i="13"/>
  <c r="F11" i="13"/>
  <c r="C11" i="13"/>
  <c r="P10" i="13"/>
  <c r="Q10" i="13" s="1"/>
  <c r="P8" i="13"/>
  <c r="Q8" i="13" s="1"/>
  <c r="P7" i="13"/>
  <c r="P6" i="13"/>
  <c r="Q6" i="13" s="1"/>
  <c r="P5" i="13"/>
  <c r="Q5" i="13" s="1"/>
  <c r="M14" i="12"/>
  <c r="N15" i="12"/>
  <c r="M15" i="12"/>
  <c r="L14" i="12"/>
  <c r="L15" i="12"/>
  <c r="K14" i="12"/>
  <c r="K15" i="12"/>
  <c r="J14" i="12"/>
  <c r="J19" i="12" s="1"/>
  <c r="J15" i="12"/>
  <c r="I14" i="12"/>
  <c r="I15" i="12"/>
  <c r="I6" i="12"/>
  <c r="H15" i="12"/>
  <c r="H19" i="12"/>
  <c r="H14" i="12"/>
  <c r="G15" i="12"/>
  <c r="G14" i="12"/>
  <c r="F15" i="12"/>
  <c r="F14" i="12"/>
  <c r="E15" i="12"/>
  <c r="E14" i="12"/>
  <c r="D15" i="12"/>
  <c r="D14" i="12"/>
  <c r="D19" i="12" s="1"/>
  <c r="D20" i="12" s="1"/>
  <c r="O15" i="12"/>
  <c r="O14" i="12"/>
  <c r="O4" i="12"/>
  <c r="N14" i="12"/>
  <c r="N4" i="12"/>
  <c r="M6" i="12"/>
  <c r="M4" i="12"/>
  <c r="L6" i="12"/>
  <c r="L4" i="12"/>
  <c r="K6" i="12"/>
  <c r="K4" i="12"/>
  <c r="J6" i="12"/>
  <c r="J4" i="12"/>
  <c r="I4" i="12"/>
  <c r="H4" i="12"/>
  <c r="G19" i="12"/>
  <c r="G9" i="12"/>
  <c r="G5" i="12"/>
  <c r="G4" i="12"/>
  <c r="F4" i="12"/>
  <c r="F11" i="12" s="1"/>
  <c r="E4" i="12"/>
  <c r="P4" i="12" s="1"/>
  <c r="D4" i="12"/>
  <c r="C20" i="12"/>
  <c r="O19" i="12"/>
  <c r="N19" i="12"/>
  <c r="M19" i="12"/>
  <c r="L19" i="12"/>
  <c r="K19" i="12"/>
  <c r="I19" i="12"/>
  <c r="E19" i="12"/>
  <c r="E20" i="12" s="1"/>
  <c r="C19" i="12"/>
  <c r="P18" i="12"/>
  <c r="Q18" i="12" s="1"/>
  <c r="P17" i="12"/>
  <c r="Q17" i="12" s="1"/>
  <c r="P16" i="12"/>
  <c r="Q16" i="12" s="1"/>
  <c r="O11" i="12"/>
  <c r="N11" i="12"/>
  <c r="M11" i="12"/>
  <c r="K11" i="12"/>
  <c r="J11" i="12"/>
  <c r="I11" i="12"/>
  <c r="H11" i="12"/>
  <c r="G11" i="12"/>
  <c r="E11" i="12"/>
  <c r="C11" i="12"/>
  <c r="Q10" i="12"/>
  <c r="P10" i="12"/>
  <c r="P8" i="12"/>
  <c r="Q8" i="12" s="1"/>
  <c r="P7" i="12"/>
  <c r="P6" i="12"/>
  <c r="Q6" i="12" s="1"/>
  <c r="P5" i="12"/>
  <c r="Q5" i="12" s="1"/>
  <c r="Q3" i="11"/>
  <c r="O14" i="11"/>
  <c r="P14" i="11" s="1"/>
  <c r="Q14" i="11" s="1"/>
  <c r="O13" i="11"/>
  <c r="O3" i="11"/>
  <c r="O10" i="11" s="1"/>
  <c r="N14" i="11"/>
  <c r="N13" i="11"/>
  <c r="N3" i="11"/>
  <c r="M3" i="11"/>
  <c r="M13" i="11"/>
  <c r="M14" i="11"/>
  <c r="L14" i="11"/>
  <c r="L13" i="11"/>
  <c r="L3" i="11"/>
  <c r="L10" i="11" s="1"/>
  <c r="K14" i="11"/>
  <c r="K13" i="11"/>
  <c r="K3" i="11"/>
  <c r="J14" i="11"/>
  <c r="J13" i="11"/>
  <c r="J5" i="11"/>
  <c r="J3" i="11"/>
  <c r="I3" i="11"/>
  <c r="I5" i="11"/>
  <c r="I14" i="11"/>
  <c r="I17" i="11"/>
  <c r="I13" i="11"/>
  <c r="P5" i="11"/>
  <c r="Q5" i="11" s="1"/>
  <c r="H14" i="11"/>
  <c r="H13" i="11"/>
  <c r="H18" i="11" s="1"/>
  <c r="H5" i="11"/>
  <c r="H3" i="11"/>
  <c r="G5" i="11"/>
  <c r="G13" i="11"/>
  <c r="G14" i="11"/>
  <c r="G4" i="11"/>
  <c r="P4" i="11" s="1"/>
  <c r="Q4" i="11" s="1"/>
  <c r="G3" i="11"/>
  <c r="F14" i="11"/>
  <c r="F13" i="11"/>
  <c r="F5" i="11"/>
  <c r="F3" i="11"/>
  <c r="E14" i="11"/>
  <c r="E13" i="11"/>
  <c r="E3" i="11"/>
  <c r="D13" i="11"/>
  <c r="D14" i="11"/>
  <c r="D3" i="11"/>
  <c r="D10" i="11" s="1"/>
  <c r="O18" i="11"/>
  <c r="N18" i="11"/>
  <c r="C18" i="11"/>
  <c r="C19" i="11" s="1"/>
  <c r="P17" i="11"/>
  <c r="Q17" i="11" s="1"/>
  <c r="P16" i="11"/>
  <c r="Q16" i="11" s="1"/>
  <c r="P15" i="11"/>
  <c r="Q15" i="11" s="1"/>
  <c r="M18" i="11"/>
  <c r="L18" i="11"/>
  <c r="K18" i="11"/>
  <c r="J18" i="11"/>
  <c r="G18" i="11"/>
  <c r="F18" i="11"/>
  <c r="E18" i="11"/>
  <c r="D18" i="11"/>
  <c r="N10" i="11"/>
  <c r="M10" i="11"/>
  <c r="F10" i="11"/>
  <c r="E10" i="11"/>
  <c r="C10" i="11"/>
  <c r="P9" i="11"/>
  <c r="Q9" i="11" s="1"/>
  <c r="P8" i="11"/>
  <c r="S8" i="11" s="1"/>
  <c r="P7" i="11"/>
  <c r="Q7" i="11" s="1"/>
  <c r="P6" i="11"/>
  <c r="K10" i="11"/>
  <c r="J10" i="11"/>
  <c r="H10" i="11"/>
  <c r="G10" i="11"/>
  <c r="L19" i="14" l="1"/>
  <c r="K19" i="14"/>
  <c r="K20" i="14" s="1"/>
  <c r="J11" i="14"/>
  <c r="J20" i="14" s="1"/>
  <c r="P14" i="14"/>
  <c r="Q14" i="14" s="1"/>
  <c r="N20" i="16"/>
  <c r="M20" i="16"/>
  <c r="L20" i="16"/>
  <c r="J20" i="16"/>
  <c r="G20" i="16"/>
  <c r="P4" i="16"/>
  <c r="Q4" i="16" s="1"/>
  <c r="E20" i="16"/>
  <c r="E11" i="16"/>
  <c r="P19" i="16"/>
  <c r="Q19" i="16" s="1"/>
  <c r="D20" i="16"/>
  <c r="O19" i="15"/>
  <c r="O20" i="15" s="1"/>
  <c r="O21" i="15" s="1"/>
  <c r="N19" i="15"/>
  <c r="N20" i="15" s="1"/>
  <c r="N21" i="15" s="1"/>
  <c r="P4" i="15"/>
  <c r="P11" i="15" s="1"/>
  <c r="Q11" i="15" s="1"/>
  <c r="Q14" i="15"/>
  <c r="K20" i="15"/>
  <c r="L20" i="15"/>
  <c r="J19" i="15"/>
  <c r="P15" i="15"/>
  <c r="Q15" i="15" s="1"/>
  <c r="J20" i="15"/>
  <c r="I20" i="15"/>
  <c r="I21" i="15" s="1"/>
  <c r="H20" i="15"/>
  <c r="G19" i="15"/>
  <c r="G20" i="15" s="1"/>
  <c r="G21" i="15" s="1"/>
  <c r="F20" i="15"/>
  <c r="E20" i="15"/>
  <c r="D20" i="15"/>
  <c r="I19" i="14"/>
  <c r="I20" i="14" s="1"/>
  <c r="G20" i="14"/>
  <c r="G21" i="14" s="1"/>
  <c r="F19" i="14"/>
  <c r="P15" i="14"/>
  <c r="Q15" i="14" s="1"/>
  <c r="E20" i="14"/>
  <c r="D20" i="14"/>
  <c r="Q9" i="16"/>
  <c r="Q16" i="16"/>
  <c r="S9" i="16"/>
  <c r="M20" i="14"/>
  <c r="F20" i="14"/>
  <c r="L20" i="14"/>
  <c r="Q9" i="14"/>
  <c r="P4" i="14"/>
  <c r="H19" i="14"/>
  <c r="H20" i="14" s="1"/>
  <c r="O20" i="13"/>
  <c r="N20" i="13"/>
  <c r="N21" i="13" s="1"/>
  <c r="M20" i="13"/>
  <c r="J20" i="13"/>
  <c r="P4" i="13"/>
  <c r="Q4" i="13" s="1"/>
  <c r="I20" i="13"/>
  <c r="I21" i="13" s="1"/>
  <c r="G11" i="13"/>
  <c r="G19" i="13"/>
  <c r="G20" i="13" s="1"/>
  <c r="G21" i="13" s="1"/>
  <c r="P14" i="13"/>
  <c r="Q14" i="13" s="1"/>
  <c r="H20" i="13"/>
  <c r="H21" i="13" s="1"/>
  <c r="F20" i="13"/>
  <c r="D11" i="13"/>
  <c r="P15" i="13"/>
  <c r="Q15" i="13" s="1"/>
  <c r="Q9" i="13"/>
  <c r="F19" i="12"/>
  <c r="F20" i="12" s="1"/>
  <c r="P14" i="12"/>
  <c r="Q14" i="12" s="1"/>
  <c r="O20" i="12"/>
  <c r="N20" i="12"/>
  <c r="M20" i="12"/>
  <c r="K20" i="12"/>
  <c r="J20" i="12"/>
  <c r="I20" i="12"/>
  <c r="I21" i="12" s="1"/>
  <c r="H20" i="12"/>
  <c r="H21" i="12" s="1"/>
  <c r="G20" i="12"/>
  <c r="Q4" i="12"/>
  <c r="D11" i="12"/>
  <c r="P15" i="12"/>
  <c r="Q15" i="12" s="1"/>
  <c r="I18" i="11"/>
  <c r="I10" i="11"/>
  <c r="I19" i="11" s="1"/>
  <c r="G19" i="11"/>
  <c r="E19" i="11"/>
  <c r="D19" i="11"/>
  <c r="L19" i="11"/>
  <c r="N19" i="11"/>
  <c r="M19" i="11"/>
  <c r="O19" i="11"/>
  <c r="F19" i="11"/>
  <c r="K19" i="11"/>
  <c r="H19" i="11"/>
  <c r="J19" i="11"/>
  <c r="P3" i="11"/>
  <c r="Q8" i="11"/>
  <c r="P13" i="11"/>
  <c r="P11" i="16" l="1"/>
  <c r="Q11" i="16" s="1"/>
  <c r="Q4" i="15"/>
  <c r="P19" i="15"/>
  <c r="P20" i="15" s="1"/>
  <c r="Q20" i="15" s="1"/>
  <c r="P19" i="14"/>
  <c r="Q19" i="14" s="1"/>
  <c r="P11" i="14"/>
  <c r="Q11" i="14" s="1"/>
  <c r="Q4" i="14"/>
  <c r="P11" i="13"/>
  <c r="Q11" i="13" s="1"/>
  <c r="P19" i="13"/>
  <c r="P19" i="12"/>
  <c r="P10" i="11"/>
  <c r="Q10" i="11" s="1"/>
  <c r="P18" i="11"/>
  <c r="Q13" i="11"/>
  <c r="P20" i="16" l="1"/>
  <c r="Q20" i="16" s="1"/>
  <c r="Q19" i="15"/>
  <c r="P20" i="14"/>
  <c r="Q20" i="14" s="1"/>
  <c r="P20" i="13"/>
  <c r="Q20" i="13" s="1"/>
  <c r="Q19" i="13"/>
  <c r="Q19" i="12"/>
  <c r="P19" i="11"/>
  <c r="Q19" i="11" s="1"/>
  <c r="Q18" i="11"/>
  <c r="F11" i="9" l="1"/>
  <c r="C11" i="9"/>
  <c r="D11" i="9"/>
  <c r="E11" i="9"/>
  <c r="B11" i="9"/>
  <c r="F5" i="9"/>
  <c r="F6" i="9"/>
  <c r="F7" i="9"/>
  <c r="F8" i="9"/>
  <c r="F9" i="9"/>
  <c r="F10" i="9"/>
  <c r="F4" i="9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D12" i="7"/>
  <c r="D11" i="7"/>
  <c r="C11" i="7"/>
  <c r="E10" i="7"/>
  <c r="F10" i="7" s="1"/>
  <c r="O10" i="6"/>
  <c r="M10" i="6"/>
  <c r="L10" i="6"/>
  <c r="K10" i="6"/>
  <c r="J10" i="6"/>
  <c r="I10" i="6"/>
  <c r="H10" i="6"/>
  <c r="G10" i="6"/>
  <c r="F10" i="6"/>
  <c r="E10" i="6"/>
  <c r="D10" i="6"/>
  <c r="C10" i="6"/>
  <c r="Q9" i="6"/>
  <c r="P9" i="6"/>
  <c r="P8" i="6"/>
  <c r="Q8" i="6" s="1"/>
  <c r="P7" i="6"/>
  <c r="Q7" i="6" s="1"/>
  <c r="S6" i="6"/>
  <c r="P6" i="6"/>
  <c r="Q6" i="6" s="1"/>
  <c r="Q5" i="6"/>
  <c r="P5" i="6"/>
  <c r="Q4" i="6"/>
  <c r="P4" i="6"/>
  <c r="J4" i="6"/>
  <c r="N3" i="6"/>
  <c r="N10" i="6" s="1"/>
  <c r="M3" i="6"/>
  <c r="J3" i="6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P11" i="5"/>
  <c r="M10" i="5"/>
  <c r="P10" i="5" s="1"/>
  <c r="P9" i="5"/>
  <c r="M9" i="5"/>
  <c r="P8" i="5"/>
  <c r="P7" i="5"/>
  <c r="P6" i="5"/>
  <c r="P5" i="5"/>
  <c r="P12" i="5" s="1"/>
  <c r="J12" i="4"/>
  <c r="H12" i="4"/>
  <c r="F12" i="4"/>
  <c r="D12" i="4"/>
  <c r="C11" i="4"/>
  <c r="K11" i="4" s="1"/>
  <c r="K10" i="4"/>
  <c r="I10" i="4"/>
  <c r="E10" i="4"/>
  <c r="C10" i="4"/>
  <c r="G10" i="4" s="1"/>
  <c r="E9" i="4"/>
  <c r="C9" i="4"/>
  <c r="G9" i="4" s="1"/>
  <c r="C8" i="4"/>
  <c r="K8" i="4" s="1"/>
  <c r="K7" i="4"/>
  <c r="I7" i="4"/>
  <c r="G7" i="4"/>
  <c r="C7" i="4"/>
  <c r="E7" i="4" s="1"/>
  <c r="C6" i="4"/>
  <c r="K6" i="4" s="1"/>
  <c r="K5" i="4"/>
  <c r="G5" i="4"/>
  <c r="E5" i="4"/>
  <c r="C5" i="4"/>
  <c r="C12" i="4" s="1"/>
  <c r="AA20" i="3"/>
  <c r="AA22" i="3" s="1"/>
  <c r="Z20" i="3"/>
  <c r="S20" i="3"/>
  <c r="J20" i="3"/>
  <c r="AA19" i="3"/>
  <c r="Z19" i="3"/>
  <c r="Y19" i="3"/>
  <c r="X19" i="3"/>
  <c r="X20" i="3" s="1"/>
  <c r="W19" i="3"/>
  <c r="W20" i="3" s="1"/>
  <c r="W22" i="3" s="1"/>
  <c r="U19" i="3"/>
  <c r="S19" i="3"/>
  <c r="Q19" i="3"/>
  <c r="P19" i="3"/>
  <c r="P20" i="3" s="1"/>
  <c r="O19" i="3"/>
  <c r="O20" i="3" s="1"/>
  <c r="N19" i="3"/>
  <c r="M19" i="3"/>
  <c r="L19" i="3"/>
  <c r="J19" i="3"/>
  <c r="I19" i="3"/>
  <c r="H19" i="3"/>
  <c r="H20" i="3" s="1"/>
  <c r="G19" i="3"/>
  <c r="G20" i="3" s="1"/>
  <c r="F19" i="3"/>
  <c r="E19" i="3"/>
  <c r="E20" i="3" s="1"/>
  <c r="D19" i="3"/>
  <c r="D20" i="3" s="1"/>
  <c r="C19" i="3"/>
  <c r="C20" i="3" s="1"/>
  <c r="AD18" i="3"/>
  <c r="AF18" i="3" s="1"/>
  <c r="AC18" i="3"/>
  <c r="AE18" i="3" s="1"/>
  <c r="AD17" i="3"/>
  <c r="AF17" i="3" s="1"/>
  <c r="K17" i="3"/>
  <c r="K19" i="3" s="1"/>
  <c r="K20" i="3" s="1"/>
  <c r="AE16" i="3"/>
  <c r="AD16" i="3"/>
  <c r="AF16" i="3" s="1"/>
  <c r="AC16" i="3"/>
  <c r="AF15" i="3"/>
  <c r="AD15" i="3"/>
  <c r="O15" i="3"/>
  <c r="AC15" i="3" s="1"/>
  <c r="AC14" i="3"/>
  <c r="AB14" i="3"/>
  <c r="AB19" i="3" s="1"/>
  <c r="AB20" i="3" s="1"/>
  <c r="Z14" i="3"/>
  <c r="X14" i="3"/>
  <c r="V14" i="3"/>
  <c r="V19" i="3" s="1"/>
  <c r="V20" i="3" s="1"/>
  <c r="T14" i="3"/>
  <c r="T19" i="3" s="1"/>
  <c r="T20" i="3" s="1"/>
  <c r="R14" i="3"/>
  <c r="AD14" i="3" s="1"/>
  <c r="AB11" i="3"/>
  <c r="AA11" i="3"/>
  <c r="Z11" i="3"/>
  <c r="Y11" i="3"/>
  <c r="Y20" i="3" s="1"/>
  <c r="Y22" i="3" s="1"/>
  <c r="X11" i="3"/>
  <c r="V11" i="3"/>
  <c r="T11" i="3"/>
  <c r="S11" i="3"/>
  <c r="R11" i="3"/>
  <c r="Q11" i="3"/>
  <c r="Q20" i="3" s="1"/>
  <c r="P11" i="3"/>
  <c r="O11" i="3"/>
  <c r="K11" i="3"/>
  <c r="J11" i="3"/>
  <c r="I11" i="3"/>
  <c r="I20" i="3" s="1"/>
  <c r="H11" i="3"/>
  <c r="G11" i="3"/>
  <c r="F11" i="3"/>
  <c r="F20" i="3" s="1"/>
  <c r="E11" i="3"/>
  <c r="C11" i="3"/>
  <c r="AD10" i="3"/>
  <c r="AF10" i="3" s="1"/>
  <c r="AA10" i="3"/>
  <c r="Y10" i="3"/>
  <c r="W10" i="3"/>
  <c r="U10" i="3"/>
  <c r="U11" i="3" s="1"/>
  <c r="Q10" i="3"/>
  <c r="N10" i="3"/>
  <c r="N11" i="3" s="1"/>
  <c r="N20" i="3" s="1"/>
  <c r="M10" i="3"/>
  <c r="AC10" i="3" s="1"/>
  <c r="AE10" i="3" s="1"/>
  <c r="AH9" i="3"/>
  <c r="AD9" i="3"/>
  <c r="G9" i="7" s="1"/>
  <c r="H9" i="7" s="1"/>
  <c r="AC9" i="3"/>
  <c r="E9" i="7" s="1"/>
  <c r="F9" i="7" s="1"/>
  <c r="AD8" i="3"/>
  <c r="G8" i="7" s="1"/>
  <c r="H8" i="7" s="1"/>
  <c r="AC8" i="3"/>
  <c r="AE8" i="3" s="1"/>
  <c r="W8" i="3"/>
  <c r="W11" i="3" s="1"/>
  <c r="AD7" i="3"/>
  <c r="AC7" i="3"/>
  <c r="AE7" i="3" s="1"/>
  <c r="AC6" i="3"/>
  <c r="L6" i="3"/>
  <c r="AD6" i="3" s="1"/>
  <c r="AF5" i="3"/>
  <c r="AD5" i="3"/>
  <c r="AC5" i="3"/>
  <c r="AE5" i="3" s="1"/>
  <c r="AD4" i="3"/>
  <c r="AC4" i="3"/>
  <c r="G16" i="2"/>
  <c r="F16" i="2"/>
  <c r="E16" i="2"/>
  <c r="D16" i="2"/>
  <c r="C16" i="2"/>
  <c r="H20" i="1"/>
  <c r="H18" i="1"/>
  <c r="G18" i="1"/>
  <c r="F18" i="1"/>
  <c r="L17" i="1"/>
  <c r="N17" i="1" s="1"/>
  <c r="K17" i="1"/>
  <c r="M18" i="1" s="1"/>
  <c r="J17" i="1"/>
  <c r="J18" i="1" s="1"/>
  <c r="I17" i="1"/>
  <c r="H17" i="1"/>
  <c r="G17" i="1"/>
  <c r="F17" i="1"/>
  <c r="E17" i="1"/>
  <c r="E18" i="1" s="1"/>
  <c r="D17" i="1"/>
  <c r="D18" i="1" s="1"/>
  <c r="C17" i="1"/>
  <c r="C18" i="1" s="1"/>
  <c r="N16" i="1"/>
  <c r="M16" i="1"/>
  <c r="N15" i="1"/>
  <c r="M15" i="1"/>
  <c r="N14" i="1"/>
  <c r="M14" i="1"/>
  <c r="N13" i="1"/>
  <c r="M13" i="1"/>
  <c r="N12" i="1"/>
  <c r="M12" i="1"/>
  <c r="N11" i="1"/>
  <c r="M11" i="1"/>
  <c r="L11" i="1"/>
  <c r="N10" i="1"/>
  <c r="M10" i="1"/>
  <c r="N9" i="1"/>
  <c r="M9" i="1"/>
  <c r="N8" i="1"/>
  <c r="M8" i="1"/>
  <c r="N7" i="1"/>
  <c r="M7" i="1"/>
  <c r="N6" i="1"/>
  <c r="M6" i="1"/>
  <c r="N5" i="1"/>
  <c r="M5" i="1"/>
  <c r="AE15" i="3" l="1"/>
  <c r="I18" i="1"/>
  <c r="J20" i="1"/>
  <c r="G7" i="7"/>
  <c r="H7" i="7" s="1"/>
  <c r="AF6" i="3"/>
  <c r="K12" i="4"/>
  <c r="I12" i="4"/>
  <c r="E12" i="4"/>
  <c r="E6" i="7"/>
  <c r="AD11" i="3"/>
  <c r="AF11" i="3" s="1"/>
  <c r="G12" i="4"/>
  <c r="AD19" i="3"/>
  <c r="AF14" i="3"/>
  <c r="U20" i="3"/>
  <c r="E8" i="7"/>
  <c r="F8" i="7" s="1"/>
  <c r="E6" i="4"/>
  <c r="P3" i="6"/>
  <c r="AE4" i="3"/>
  <c r="R19" i="3"/>
  <c r="R20" i="3" s="1"/>
  <c r="G6" i="4"/>
  <c r="I9" i="4"/>
  <c r="G6" i="7"/>
  <c r="G10" i="7"/>
  <c r="H10" i="7" s="1"/>
  <c r="AF4" i="3"/>
  <c r="AF8" i="3"/>
  <c r="L11" i="3"/>
  <c r="L20" i="3" s="1"/>
  <c r="AC17" i="3"/>
  <c r="AE17" i="3" s="1"/>
  <c r="I6" i="4"/>
  <c r="E8" i="4"/>
  <c r="K9" i="4"/>
  <c r="G11" i="4"/>
  <c r="M17" i="1"/>
  <c r="E11" i="4"/>
  <c r="K18" i="1"/>
  <c r="M11" i="3"/>
  <c r="M20" i="3" s="1"/>
  <c r="G8" i="4"/>
  <c r="I11" i="4"/>
  <c r="L18" i="1"/>
  <c r="I8" i="4"/>
  <c r="AF9" i="3"/>
  <c r="I5" i="4"/>
  <c r="P10" i="6" l="1"/>
  <c r="Q10" i="6" s="1"/>
  <c r="Q3" i="6"/>
  <c r="AF19" i="3"/>
  <c r="AD20" i="3"/>
  <c r="AF20" i="3" s="1"/>
  <c r="AC11" i="3"/>
  <c r="AE11" i="3" s="1"/>
  <c r="E11" i="7"/>
  <c r="F6" i="7"/>
  <c r="N18" i="1"/>
  <c r="L20" i="1"/>
  <c r="G11" i="7"/>
  <c r="H11" i="7" s="1"/>
  <c r="H6" i="7"/>
  <c r="E7" i="7"/>
  <c r="F7" i="7" s="1"/>
  <c r="AC19" i="3"/>
  <c r="F11" i="7" l="1"/>
  <c r="G12" i="7"/>
  <c r="H12" i="7" s="1"/>
  <c r="AE19" i="3"/>
  <c r="AC20" i="3"/>
  <c r="AE20" i="3" l="1"/>
  <c r="AC22" i="3"/>
  <c r="P9" i="12" l="1"/>
  <c r="Q9" i="12" s="1"/>
  <c r="L11" i="12"/>
  <c r="L20" i="12" s="1"/>
  <c r="P11" i="12" l="1"/>
  <c r="S9" i="12"/>
  <c r="P20" i="12" l="1"/>
  <c r="Q20" i="12" s="1"/>
  <c r="Q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E8C34DC3-9A67-42A4-8880-E205DCB76615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3" authorId="0" shapeId="0" xr:uid="{FC3F2C6F-5411-4E79-AEB9-8FBAD11AF921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F42" authorId="0" shapeId="0" xr:uid="{65AE1C1E-C753-4C1F-9F51-D037C6025D6E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F50" authorId="0" shapeId="0" xr:uid="{3ABB59BA-6163-40D0-A8D8-E9BAD4B8203A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FBB20A45-F283-4BC2-9C22-8312536BE912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4" authorId="0" shapeId="0" xr:uid="{990CF65B-B86A-4C9A-83F2-04FCCCB580A6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F43" authorId="0" shapeId="0" xr:uid="{D02E23DF-9C44-404E-828D-E38BF1F5E128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F51" authorId="0" shapeId="0" xr:uid="{B2B3D07B-4263-4159-ACF2-F5EAE4645B48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2BF6554A-B5B7-4729-9889-B5A154D10CCF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4" authorId="0" shapeId="0" xr:uid="{055BC0FA-17F5-4CB5-9C65-10A3C6A8028D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F43" authorId="0" shapeId="0" xr:uid="{2D358F84-7937-4A4A-9BDA-6294CC0FD616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F51" authorId="0" shapeId="0" xr:uid="{79FC058F-BF45-475D-B1C2-F4F9D219CEF7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FD0E0C36-D8AF-4055-9011-C9536E8A070F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4" authorId="0" shapeId="0" xr:uid="{1AB83D83-CEA1-433D-90D6-D6A189392AC3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F43" authorId="0" shapeId="0" xr:uid="{E36E5DB0-8C27-4BFD-9A58-A38780047B81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F51" authorId="0" shapeId="0" xr:uid="{E563D1C1-EF0D-41E7-A04A-CE6B21A8F12C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354A301C-A433-4070-98E4-6DDC0C435BFB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4" authorId="0" shapeId="0" xr:uid="{659361A4-13AA-493D-B1CE-08A2F405FF6F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F43" authorId="0" shapeId="0" xr:uid="{F2629F1C-00D8-451A-A610-3D42F3805559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F51" authorId="0" shapeId="0" xr:uid="{FF1A14EF-C92B-4167-99C4-8BE30AEED9E7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BE00C778-E21E-44D9-85D7-529966C56319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4" authorId="0" shapeId="0" xr:uid="{CCF18DC0-8FD6-44E7-BD13-B88F5F5EA71D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F43" authorId="0" shapeId="0" xr:uid="{468307AE-8A55-4D2C-8347-B64D3B3477CD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F51" authorId="0" shapeId="0" xr:uid="{FA6AB909-18E2-4849-92FF-917510DFF26C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======
ID#AAAA2twYC1M
Asus    (2023-08-10 08:15:23)
ramadhan dan muharram</t>
        </r>
      </text>
    </comment>
    <comment ref="B1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ID#AAAA2twYC1c
Asus    (2023-08-10 08:15:23)
ramadhan dan muharram</t>
        </r>
      </text>
    </comment>
    <comment ref="J43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======
ID#AAAA2twYC1Q
Asus    (2023-08-10 08:15:23)
ramadhan dan muharram</t>
        </r>
      </text>
    </comment>
    <comment ref="J5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ID#AAAA2twYC1g
Asus    (2023-08-10 08:15:23)
ramadhan dan muharram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g6sHqTIY67S1DgzdQhjc2hN76zA=="/>
    </ext>
  </extL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7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======
ID#AAAA2twYC1U
Asus    (2023-08-10 08:15:23)
ramadhan dan muharram</t>
        </r>
      </text>
    </comment>
    <comment ref="B56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======
ID#AAAA2twYC1Y
Asus    (2023-08-10 08:15:23)
ramadhan dan muharram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KDvBxk+IDCFRI1nzFghDtxvSkSw=="/>
    </ext>
  </extLst>
</comments>
</file>

<file path=xl/sharedStrings.xml><?xml version="1.0" encoding="utf-8"?>
<sst xmlns="http://schemas.openxmlformats.org/spreadsheetml/2006/main" count="506" uniqueCount="115">
  <si>
    <t>PERKEMBANGAN ZAKAT TKD ASN DAN UMUM</t>
  </si>
  <si>
    <t>No</t>
  </si>
  <si>
    <t>BULAN</t>
  </si>
  <si>
    <t>KENAIKAN</t>
  </si>
  <si>
    <t>TKD</t>
  </si>
  <si>
    <t>NON TKD</t>
  </si>
  <si>
    <t>TKD 2022 - 2023</t>
  </si>
  <si>
    <t>HASIL SELURUH 2022 - 2023</t>
  </si>
  <si>
    <t>JANUARI</t>
  </si>
  <si>
    <t>FEBRUARI </t>
  </si>
  <si>
    <t>MARET</t>
  </si>
  <si>
    <t>APRIL </t>
  </si>
  <si>
    <t>MEI </t>
  </si>
  <si>
    <t>JUNI </t>
  </si>
  <si>
    <t>JULI </t>
  </si>
  <si>
    <t>AGUSTUS </t>
  </si>
  <si>
    <t>SEPTEMBER </t>
  </si>
  <si>
    <t>OKTOBER </t>
  </si>
  <si>
    <t>NOVEMBER </t>
  </si>
  <si>
    <t>DESEMBER </t>
  </si>
  <si>
    <t>JUMLAH</t>
  </si>
  <si>
    <t>Prosentase TKD</t>
  </si>
  <si>
    <t>PERKEMBANGAN ZAKAT TKD ASN</t>
  </si>
  <si>
    <t>SEUAI INSTRUKSI GUBERNUR NO. 67 TAHUN 2019</t>
  </si>
  <si>
    <t>NO.</t>
  </si>
  <si>
    <t>URAIAN</t>
  </si>
  <si>
    <t>TARGET 2023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</si>
  <si>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</si>
  <si>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</si>
  <si>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</si>
  <si>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</si>
  <si>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</si>
  <si>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</si>
  <si>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</si>
  <si>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</si>
  <si>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</si>
  <si>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</si>
  <si>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% TARGET</t>
  </si>
  <si>
    <t>PROVINSI</t>
  </si>
  <si>
    <t>WILAYAH</t>
  </si>
  <si>
    <t>I</t>
  </si>
  <si>
    <t>ZAKAT</t>
  </si>
  <si>
    <t>ZIS PEJABAT</t>
  </si>
  <si>
    <t>VIA PO</t>
  </si>
  <si>
    <t>BANK MITRA (RITEL)</t>
  </si>
  <si>
    <t>DIGITAL</t>
  </si>
  <si>
    <t>ZAKAT FITRAH</t>
  </si>
  <si>
    <t>UPZ</t>
  </si>
  <si>
    <t>JUMLAH ZAKAT</t>
  </si>
  <si>
    <t>II</t>
  </si>
  <si>
    <t>INFAK</t>
  </si>
  <si>
    <t>RITEL NON CSR</t>
  </si>
  <si>
    <t>PUBLIK DIGITAL</t>
  </si>
  <si>
    <t>CSR</t>
  </si>
  <si>
    <t>QURBAN</t>
  </si>
  <si>
    <t>JUMLAH INFAK</t>
  </si>
  <si>
    <t>TOTAL ZAKAT DAN INFAK</t>
  </si>
  <si>
    <t>BULAN  DESEMBER</t>
  </si>
  <si>
    <t xml:space="preserve">JUMLAH HASIL </t>
  </si>
  <si>
    <t>%</t>
  </si>
  <si>
    <t>TARGET</t>
  </si>
  <si>
    <t>PENCAPAIAN</t>
  </si>
  <si>
    <t>TARGET PROYEKSI</t>
  </si>
  <si>
    <t>PROVINSI DKI JAKARTA</t>
  </si>
  <si>
    <t>JAKARTA PUSAT</t>
  </si>
  <si>
    <t>JAKARTA UTARA</t>
  </si>
  <si>
    <t>JAKARTA BARAT</t>
  </si>
  <si>
    <t>JAKARTA SELATAN</t>
  </si>
  <si>
    <t>JAKARTA TIMUR</t>
  </si>
  <si>
    <t>KEP. SERIBU</t>
  </si>
  <si>
    <t>TOTAL</t>
  </si>
  <si>
    <t>TKD Priode Januari s.d. Desember 2023</t>
  </si>
  <si>
    <t>OKTOBER II</t>
  </si>
  <si>
    <t xml:space="preserve"> </t>
  </si>
  <si>
    <t>Provinsi DKI Jakarta</t>
  </si>
  <si>
    <t>Jakarta Pusat</t>
  </si>
  <si>
    <t>Jakarta Utara</t>
  </si>
  <si>
    <t>Jakarta Barat</t>
  </si>
  <si>
    <t>Jakarta Selatan</t>
  </si>
  <si>
    <t>Jakarta Timur</t>
  </si>
  <si>
    <t>Kab. Adm. Kep Seribu</t>
  </si>
  <si>
    <t>% Target</t>
  </si>
  <si>
    <t xml:space="preserve">JUMLAH </t>
  </si>
  <si>
    <t>Hasil Pengumpulan ZIS periode Januari sd. Desember 2023</t>
  </si>
  <si>
    <t>DIVISI</t>
  </si>
  <si>
    <t>PENCAPAIAN HASIL</t>
  </si>
  <si>
    <t>UPZ INSTANSI</t>
  </si>
  <si>
    <t>CSR &amp; RETAIL</t>
  </si>
  <si>
    <t>DIGITAL MARKOM</t>
  </si>
  <si>
    <t>Zakat Fitrah</t>
  </si>
  <si>
    <t>Qurban</t>
  </si>
  <si>
    <t>PO</t>
  </si>
  <si>
    <t>Zakat</t>
  </si>
  <si>
    <t>Infak</t>
  </si>
  <si>
    <t>Pengusaha</t>
  </si>
  <si>
    <t>pejabat</t>
  </si>
  <si>
    <t>Zakfit</t>
  </si>
  <si>
    <t>kurban</t>
  </si>
  <si>
    <t>pribadi</t>
  </si>
  <si>
    <t>kotak</t>
  </si>
  <si>
    <t>GERAI</t>
  </si>
  <si>
    <t>Bank Mitra</t>
  </si>
  <si>
    <t>Digital</t>
  </si>
  <si>
    <t>Publik digital</t>
  </si>
  <si>
    <t>Wilayah</t>
  </si>
  <si>
    <t>Target 2023</t>
  </si>
  <si>
    <t>Realisasi</t>
  </si>
  <si>
    <t>(%)</t>
  </si>
  <si>
    <t>Provinsi</t>
  </si>
  <si>
    <t>Kepulauan Seribu</t>
  </si>
  <si>
    <t>Grand Total</t>
  </si>
  <si>
    <t>NOVEMBER</t>
  </si>
  <si>
    <t>FITRAH</t>
  </si>
  <si>
    <t>7,740,000.00</t>
  </si>
  <si>
    <t>KEP SERIBU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</si>
</sst>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-[$Rp-3809]* #,##0_-;\-[$Rp-3809]* #,##0_-;_-[$Rp-3809]* &quot;-&quot;??_-;_-@"/>
    <numFmt numFmtId="165" formatCode="_-[$Rp-421]* #,##0_-;_-[$Rp-421]* \-#,##0_-;_-[$Rp-421]* &quot;-&quot;??_-;_-@"/>
    <numFmt numFmtId="166" formatCode="_-[$Rp-421]* #,##0_-;\-[$Rp-421]* #,##0_-;_-[$Rp-421]* &quot;-&quot;??_-;_-@"/>
    <numFmt numFmtId="167" formatCode="_-[$Rp-421]* #,##0_-;\-[$Rp-421]* #,##0_-;_-[$Rp-421]* &quot;-&quot;_-;_-@"/>
    <numFmt numFmtId="168" formatCode="_-[$Rp-3809]* #,##0.00_-;\-[$Rp-3809]* #,##0.00_-;_-[$Rp-3809]* &quot;-&quot;??_-;_-@"/>
    <numFmt numFmtId="169" formatCode="_-&quot;Rp&quot;* #,##0_-;\-&quot;Rp&quot;* #,##0_-;_-&quot;Rp&quot;* &quot;-&quot;??_-;_-@"/>
    <numFmt numFmtId="170" formatCode="_-* #,##0_-;\-* #,##0_-;_-* &quot;-&quot;_-;_-@"/>
    <numFmt numFmtId="171" formatCode="_(* #,##0_);_(* \(#,##0\);_(* &quot;-&quot;??_);_(@_)"/>
    <numFmt numFmtId="172" formatCode="_(* #,##0.00_);_(* \(#,##0.00\);_(* &quot;-&quot;??_);_(@_)"/>
    <numFmt numFmtId="173" formatCode="_-[$Rp-421]* #,##0.00_-;\-[$Rp-421]* #,##0.00_-;_-[$Rp-421]* &quot;-&quot;??_-;_-@"/>
    <numFmt numFmtId="174" formatCode="_-[$Rp-421]* #,##0.00_-;_-[$Rp-421]* \-#,##0.00_-;_-[$Rp-421]* &quot;-&quot;??_-;_-@"/>
    <numFmt numFmtId="175" formatCode="[$Rp-421]#,##0.00"/>
    <numFmt numFmtId="176" formatCode="[$Rp-421]#,##0"/>
    <numFmt numFmtId="177" formatCode="&quot;Rp&quot;#,##0"/>
    <numFmt numFmtId="178" formatCode="_-&quot;Rp&quot;* #,##0_-;\-&quot;Rp&quot;* #,##0_-;_-&quot;Rp&quot;* &quot;-&quot;_-;_-@"/>
    <numFmt numFmtId="179" formatCode="_-* #,##0_-;\-* #,##0_-;_-* &quot;-&quot;??_-;_-@_-"/>
    <numFmt numFmtId="186" formatCode="_-[$Rp-3809]* #,##0.0_-;\-[$Rp-3809]* #,##0.0_-;_-[$Rp-3809]* &quot;-&quot;??_-;_-@_-"/>
    <numFmt numFmtId="187" formatCode="_-[$Rp-3809]* #,##0_-;\-[$Rp-3809]* #,##0_-;_-[$Rp-3809]* &quot;-&quot;??_-;_-@_-"/>
    <numFmt numFmtId="189" formatCode="_-&quot;Rp&quot;* #,##0_-;\-&quot;Rp&quot;* #,##0_-;_-&quot;Rp&quot;* &quot;-&quot;??_-;_-@_-"/>
  </numFmts>
  <fonts count="5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Sansserif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</font>
    <font>
      <sz val="13"/>
      <color theme="1"/>
      <name val="Calibri"/>
      <family val="2"/>
    </font>
    <font>
      <sz val="11"/>
      <color rgb="FF1F1F1F"/>
      <name val="&quot;Google Sans&quot;"/>
    </font>
    <font>
      <sz val="9"/>
      <color rgb="FF333333"/>
      <name val="Verdana"/>
      <family val="2"/>
    </font>
    <font>
      <sz val="9"/>
      <color rgb="FF1F1F1F"/>
      <name val="&quot;Google Sans&quot;"/>
    </font>
    <font>
      <sz val="11"/>
      <color rgb="FF000000"/>
      <name val="Calibri"/>
      <family val="2"/>
    </font>
    <font>
      <sz val="9"/>
      <color rgb="FF1155CC"/>
      <name val="&quot;Google Sans Mono&quot;"/>
    </font>
    <font>
      <b/>
      <sz val="9"/>
      <color rgb="FF262626"/>
      <name val="Verdana"/>
      <family val="2"/>
    </font>
    <font>
      <sz val="3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Sansserif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3"/>
      <color rgb="FF1F1F1F"/>
      <name val="&quot;Google Sans&quot;"/>
    </font>
    <font>
      <sz val="13"/>
      <color theme="1"/>
      <name val="Arial"/>
      <family val="2"/>
    </font>
    <font>
      <sz val="13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69707A"/>
      <name val="Arial"/>
      <family val="2"/>
    </font>
    <font>
      <b/>
      <sz val="11"/>
      <color rgb="FF69707A"/>
      <name val="Arial"/>
      <family val="2"/>
    </font>
    <font>
      <b/>
      <sz val="11"/>
      <color rgb="FF008000"/>
      <name val="Arial"/>
      <family val="2"/>
    </font>
    <font>
      <b/>
      <sz val="11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FF9900"/>
        <bgColor rgb="FFFF9900"/>
      </patternFill>
    </fill>
    <fill>
      <patternFill patternType="solid">
        <fgColor rgb="FFF2EEE3"/>
        <bgColor rgb="FFF2EEE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AD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3" fillId="0" borderId="9"/>
    <xf numFmtId="0" fontId="2" fillId="0" borderId="9"/>
    <xf numFmtId="44" fontId="49" fillId="0" borderId="0" applyFont="0" applyFill="0" applyBorder="0" applyAlignment="0" applyProtection="0"/>
  </cellStyleXfs>
  <cellXfs count="520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5" fontId="10" fillId="2" borderId="8" xfId="0" applyNumberFormat="1" applyFont="1" applyFill="1" applyBorder="1" applyAlignment="1">
      <alignment vertical="center" wrapText="1"/>
    </xf>
    <xf numFmtId="165" fontId="10" fillId="0" borderId="8" xfId="0" applyNumberFormat="1" applyFont="1" applyBorder="1" applyAlignment="1">
      <alignment vertical="center" wrapText="1"/>
    </xf>
    <xf numFmtId="165" fontId="11" fillId="0" borderId="8" xfId="0" applyNumberFormat="1" applyFont="1" applyBorder="1" applyAlignment="1">
      <alignment vertical="center"/>
    </xf>
    <xf numFmtId="10" fontId="8" fillId="0" borderId="8" xfId="0" applyNumberFormat="1" applyFont="1" applyBorder="1" applyAlignment="1">
      <alignment horizontal="center" vertical="center"/>
    </xf>
    <xf numFmtId="165" fontId="10" fillId="3" borderId="8" xfId="0" applyNumberFormat="1" applyFont="1" applyFill="1" applyBorder="1" applyAlignment="1">
      <alignment vertical="center" wrapText="1"/>
    </xf>
    <xf numFmtId="165" fontId="10" fillId="4" borderId="8" xfId="0" applyNumberFormat="1" applyFont="1" applyFill="1" applyBorder="1" applyAlignment="1">
      <alignment vertical="center" wrapText="1"/>
    </xf>
    <xf numFmtId="165" fontId="10" fillId="5" borderId="8" xfId="0" applyNumberFormat="1" applyFont="1" applyFill="1" applyBorder="1" applyAlignment="1">
      <alignment vertical="center" wrapText="1"/>
    </xf>
    <xf numFmtId="165" fontId="10" fillId="6" borderId="8" xfId="0" applyNumberFormat="1" applyFont="1" applyFill="1" applyBorder="1" applyAlignment="1">
      <alignment vertical="center" wrapText="1"/>
    </xf>
    <xf numFmtId="165" fontId="10" fillId="5" borderId="8" xfId="0" applyNumberFormat="1" applyFont="1" applyFill="1" applyBorder="1" applyAlignment="1">
      <alignment horizontal="right" vertical="center"/>
    </xf>
    <xf numFmtId="166" fontId="11" fillId="0" borderId="8" xfId="0" applyNumberFormat="1" applyFont="1" applyBorder="1" applyAlignment="1">
      <alignment vertical="center"/>
    </xf>
    <xf numFmtId="166" fontId="10" fillId="4" borderId="8" xfId="0" applyNumberFormat="1" applyFont="1" applyFill="1" applyBorder="1" applyAlignment="1">
      <alignment vertical="center" wrapText="1"/>
    </xf>
    <xf numFmtId="166" fontId="12" fillId="0" borderId="0" xfId="0" applyNumberFormat="1" applyFont="1"/>
    <xf numFmtId="165" fontId="11" fillId="6" borderId="8" xfId="0" applyNumberFormat="1" applyFont="1" applyFill="1" applyBorder="1" applyAlignment="1">
      <alignment vertical="center"/>
    </xf>
    <xf numFmtId="165" fontId="11" fillId="4" borderId="8" xfId="0" applyNumberFormat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 wrapText="1"/>
    </xf>
    <xf numFmtId="165" fontId="14" fillId="4" borderId="8" xfId="0" applyNumberFormat="1" applyFont="1" applyFill="1" applyBorder="1" applyAlignment="1">
      <alignment vertical="center" wrapText="1"/>
    </xf>
    <xf numFmtId="165" fontId="15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12" fillId="0" borderId="0" xfId="0" applyNumberFormat="1" applyFont="1"/>
    <xf numFmtId="10" fontId="12" fillId="0" borderId="0" xfId="0" applyNumberFormat="1" applyFont="1"/>
    <xf numFmtId="166" fontId="16" fillId="0" borderId="0" xfId="0" applyNumberFormat="1" applyFont="1"/>
    <xf numFmtId="164" fontId="9" fillId="4" borderId="0" xfId="0" applyNumberFormat="1" applyFont="1" applyFill="1" applyAlignment="1">
      <alignment vertical="center" wrapText="1"/>
    </xf>
    <xf numFmtId="0" fontId="12" fillId="4" borderId="0" xfId="0" applyFont="1" applyFill="1"/>
    <xf numFmtId="0" fontId="17" fillId="0" borderId="0" xfId="0" applyFont="1"/>
    <xf numFmtId="0" fontId="18" fillId="0" borderId="0" xfId="0" applyFont="1"/>
    <xf numFmtId="0" fontId="17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5" fontId="10" fillId="0" borderId="5" xfId="0" applyNumberFormat="1" applyFont="1" applyBorder="1" applyAlignment="1">
      <alignment vertical="center" wrapText="1"/>
    </xf>
    <xf numFmtId="0" fontId="20" fillId="5" borderId="9" xfId="0" applyFont="1" applyFill="1" applyBorder="1" applyAlignment="1">
      <alignment vertical="center" wrapText="1"/>
    </xf>
    <xf numFmtId="168" fontId="4" fillId="0" borderId="0" xfId="0" applyNumberFormat="1" applyFont="1"/>
    <xf numFmtId="165" fontId="10" fillId="4" borderId="10" xfId="0" applyNumberFormat="1" applyFont="1" applyFill="1" applyBorder="1" applyAlignment="1">
      <alignment vertical="center" wrapText="1"/>
    </xf>
    <xf numFmtId="165" fontId="10" fillId="4" borderId="5" xfId="0" applyNumberFormat="1" applyFont="1" applyFill="1" applyBorder="1" applyAlignment="1">
      <alignment vertical="center" wrapText="1"/>
    </xf>
    <xf numFmtId="165" fontId="11" fillId="4" borderId="10" xfId="0" applyNumberFormat="1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4" fillId="4" borderId="8" xfId="0" applyFont="1" applyFill="1" applyBorder="1" applyAlignment="1">
      <alignment vertical="center" wrapText="1"/>
    </xf>
    <xf numFmtId="165" fontId="14" fillId="4" borderId="10" xfId="0" applyNumberFormat="1" applyFont="1" applyFill="1" applyBorder="1" applyAlignment="1">
      <alignment vertical="center" wrapText="1"/>
    </xf>
    <xf numFmtId="0" fontId="21" fillId="0" borderId="0" xfId="0" applyFont="1"/>
    <xf numFmtId="0" fontId="17" fillId="0" borderId="7" xfId="0" applyFont="1" applyBorder="1" applyAlignment="1">
      <alignment horizontal="center" vertical="center"/>
    </xf>
    <xf numFmtId="169" fontId="17" fillId="0" borderId="7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169" fontId="17" fillId="3" borderId="8" xfId="0" applyNumberFormat="1" applyFont="1" applyFill="1" applyBorder="1" applyAlignment="1">
      <alignment vertical="center"/>
    </xf>
    <xf numFmtId="169" fontId="17" fillId="4" borderId="8" xfId="0" applyNumberFormat="1" applyFont="1" applyFill="1" applyBorder="1" applyAlignment="1">
      <alignment vertical="center"/>
    </xf>
    <xf numFmtId="166" fontId="17" fillId="0" borderId="8" xfId="0" applyNumberFormat="1" applyFont="1" applyBorder="1" applyAlignment="1">
      <alignment horizontal="center" vertical="center" wrapText="1"/>
    </xf>
    <xf numFmtId="169" fontId="18" fillId="0" borderId="8" xfId="0" applyNumberFormat="1" applyFont="1" applyBorder="1" applyAlignment="1">
      <alignment horizontal="center" vertical="center"/>
    </xf>
    <xf numFmtId="166" fontId="18" fillId="0" borderId="0" xfId="0" applyNumberFormat="1" applyFont="1"/>
    <xf numFmtId="166" fontId="18" fillId="0" borderId="8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4" fontId="4" fillId="0" borderId="0" xfId="0" applyNumberFormat="1" applyFont="1"/>
    <xf numFmtId="170" fontId="17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169" fontId="18" fillId="4" borderId="8" xfId="0" applyNumberFormat="1" applyFont="1" applyFill="1" applyBorder="1" applyAlignment="1">
      <alignment horizontal="left" vertical="center"/>
    </xf>
    <xf numFmtId="169" fontId="18" fillId="0" borderId="8" xfId="0" applyNumberFormat="1" applyFont="1" applyBorder="1" applyAlignment="1">
      <alignment horizontal="left" vertical="center"/>
    </xf>
    <xf numFmtId="166" fontId="18" fillId="4" borderId="8" xfId="0" applyNumberFormat="1" applyFont="1" applyFill="1" applyBorder="1" applyAlignment="1">
      <alignment horizontal="left" vertical="center" wrapText="1"/>
    </xf>
    <xf numFmtId="166" fontId="18" fillId="4" borderId="8" xfId="0" applyNumberFormat="1" applyFont="1" applyFill="1" applyBorder="1" applyAlignment="1">
      <alignment horizontal="center" vertical="center"/>
    </xf>
    <xf numFmtId="166" fontId="22" fillId="5" borderId="8" xfId="0" applyNumberFormat="1" applyFont="1" applyFill="1" applyBorder="1" applyAlignment="1">
      <alignment vertical="center" wrapText="1"/>
    </xf>
    <xf numFmtId="165" fontId="18" fillId="4" borderId="11" xfId="0" applyNumberFormat="1" applyFont="1" applyFill="1" applyBorder="1" applyAlignment="1">
      <alignment vertical="center"/>
    </xf>
    <xf numFmtId="165" fontId="18" fillId="0" borderId="8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horizontal="right" vertical="center"/>
    </xf>
    <xf numFmtId="165" fontId="22" fillId="0" borderId="8" xfId="0" applyNumberFormat="1" applyFont="1" applyBorder="1" applyAlignment="1">
      <alignment horizontal="right" vertical="center"/>
    </xf>
    <xf numFmtId="10" fontId="17" fillId="0" borderId="8" xfId="0" applyNumberFormat="1" applyFont="1" applyBorder="1" applyAlignment="1">
      <alignment horizontal="center" vertical="center"/>
    </xf>
    <xf numFmtId="171" fontId="18" fillId="0" borderId="0" xfId="0" applyNumberFormat="1" applyFont="1"/>
    <xf numFmtId="172" fontId="4" fillId="0" borderId="0" xfId="0" applyNumberFormat="1" applyFont="1"/>
    <xf numFmtId="169" fontId="18" fillId="4" borderId="8" xfId="0" applyNumberFormat="1" applyFont="1" applyFill="1" applyBorder="1" applyAlignment="1">
      <alignment vertical="center"/>
    </xf>
    <xf numFmtId="169" fontId="18" fillId="0" borderId="8" xfId="0" applyNumberFormat="1" applyFont="1" applyBorder="1" applyAlignment="1">
      <alignment vertical="center"/>
    </xf>
    <xf numFmtId="166" fontId="18" fillId="4" borderId="8" xfId="0" applyNumberFormat="1" applyFont="1" applyFill="1" applyBorder="1" applyAlignment="1">
      <alignment vertical="center"/>
    </xf>
    <xf numFmtId="171" fontId="18" fillId="0" borderId="0" xfId="0" applyNumberFormat="1" applyFont="1" applyAlignment="1">
      <alignment vertical="center"/>
    </xf>
    <xf numFmtId="169" fontId="18" fillId="3" borderId="8" xfId="0" applyNumberFormat="1" applyFont="1" applyFill="1" applyBorder="1" applyAlignment="1">
      <alignment vertical="center"/>
    </xf>
    <xf numFmtId="171" fontId="18" fillId="0" borderId="8" xfId="0" applyNumberFormat="1" applyFont="1" applyBorder="1" applyAlignment="1">
      <alignment vertical="center"/>
    </xf>
    <xf numFmtId="10" fontId="17" fillId="3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/>
    <xf numFmtId="166" fontId="18" fillId="0" borderId="0" xfId="0" applyNumberFormat="1" applyFont="1" applyAlignment="1">
      <alignment vertical="center"/>
    </xf>
    <xf numFmtId="166" fontId="18" fillId="0" borderId="1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169" fontId="17" fillId="0" borderId="8" xfId="0" applyNumberFormat="1" applyFont="1" applyBorder="1" applyAlignment="1">
      <alignment vertical="center"/>
    </xf>
    <xf numFmtId="166" fontId="17" fillId="3" borderId="8" xfId="0" applyNumberFormat="1" applyFont="1" applyFill="1" applyBorder="1" applyAlignment="1">
      <alignment horizontal="center" vertical="center"/>
    </xf>
    <xf numFmtId="166" fontId="17" fillId="3" borderId="8" xfId="0" applyNumberFormat="1" applyFont="1" applyFill="1" applyBorder="1" applyAlignment="1">
      <alignment vertical="center"/>
    </xf>
    <xf numFmtId="166" fontId="17" fillId="4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Border="1"/>
    <xf numFmtId="166" fontId="9" fillId="0" borderId="0" xfId="0" applyNumberFormat="1" applyFont="1" applyAlignment="1">
      <alignment horizontal="right"/>
    </xf>
    <xf numFmtId="10" fontId="17" fillId="4" borderId="8" xfId="0" applyNumberFormat="1" applyFont="1" applyFill="1" applyBorder="1" applyAlignment="1">
      <alignment horizontal="center" vertical="center"/>
    </xf>
    <xf numFmtId="10" fontId="18" fillId="4" borderId="8" xfId="0" applyNumberFormat="1" applyFont="1" applyFill="1" applyBorder="1" applyAlignment="1">
      <alignment horizontal="center" vertical="center"/>
    </xf>
    <xf numFmtId="3" fontId="18" fillId="0" borderId="0" xfId="0" applyNumberFormat="1" applyFont="1"/>
    <xf numFmtId="4" fontId="18" fillId="0" borderId="0" xfId="0" applyNumberFormat="1" applyFont="1"/>
    <xf numFmtId="10" fontId="18" fillId="0" borderId="8" xfId="0" applyNumberFormat="1" applyFont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165" fontId="22" fillId="0" borderId="0" xfId="0" applyNumberFormat="1" applyFont="1"/>
    <xf numFmtId="169" fontId="18" fillId="4" borderId="9" xfId="0" applyNumberFormat="1" applyFont="1" applyFill="1" applyBorder="1" applyAlignment="1">
      <alignment vertical="center"/>
    </xf>
    <xf numFmtId="166" fontId="18" fillId="4" borderId="9" xfId="0" applyNumberFormat="1" applyFont="1" applyFill="1" applyBorder="1" applyAlignment="1">
      <alignment vertical="center"/>
    </xf>
    <xf numFmtId="173" fontId="18" fillId="0" borderId="8" xfId="0" applyNumberFormat="1" applyFont="1" applyBorder="1" applyAlignment="1">
      <alignment vertical="center"/>
    </xf>
    <xf numFmtId="165" fontId="21" fillId="0" borderId="8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166" fontId="18" fillId="4" borderId="9" xfId="0" applyNumberFormat="1" applyFont="1" applyFill="1" applyBorder="1" applyAlignment="1">
      <alignment horizontal="center" vertical="center"/>
    </xf>
    <xf numFmtId="166" fontId="18" fillId="4" borderId="12" xfId="0" applyNumberFormat="1" applyFont="1" applyFill="1" applyBorder="1" applyAlignment="1">
      <alignment vertical="center"/>
    </xf>
    <xf numFmtId="166" fontId="18" fillId="4" borderId="12" xfId="0" applyNumberFormat="1" applyFont="1" applyFill="1" applyBorder="1" applyAlignment="1">
      <alignment horizontal="center" vertical="center"/>
    </xf>
    <xf numFmtId="10" fontId="18" fillId="4" borderId="9" xfId="0" applyNumberFormat="1" applyFont="1" applyFill="1" applyBorder="1" applyAlignment="1">
      <alignment horizontal="center" vertical="center"/>
    </xf>
    <xf numFmtId="173" fontId="18" fillId="4" borderId="9" xfId="0" applyNumberFormat="1" applyFont="1" applyFill="1" applyBorder="1" applyAlignment="1">
      <alignment vertical="center"/>
    </xf>
    <xf numFmtId="166" fontId="17" fillId="7" borderId="8" xfId="0" applyNumberFormat="1" applyFont="1" applyFill="1" applyBorder="1" applyAlignment="1">
      <alignment vertical="center"/>
    </xf>
    <xf numFmtId="174" fontId="18" fillId="0" borderId="8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vertical="center"/>
    </xf>
    <xf numFmtId="172" fontId="11" fillId="0" borderId="0" xfId="0" applyNumberFormat="1" applyFont="1" applyAlignment="1">
      <alignment vertical="center"/>
    </xf>
    <xf numFmtId="0" fontId="16" fillId="0" borderId="0" xfId="0" applyFont="1"/>
    <xf numFmtId="172" fontId="12" fillId="0" borderId="0" xfId="0" applyNumberFormat="1" applyFont="1"/>
    <xf numFmtId="165" fontId="11" fillId="0" borderId="0" xfId="0" applyNumberFormat="1" applyFont="1" applyAlignment="1">
      <alignment vertical="center"/>
    </xf>
    <xf numFmtId="165" fontId="12" fillId="0" borderId="0" xfId="0" applyNumberFormat="1" applyFont="1"/>
    <xf numFmtId="9" fontId="11" fillId="0" borderId="0" xfId="0" applyNumberFormat="1" applyFont="1" applyAlignment="1">
      <alignment horizontal="center" vertical="center"/>
    </xf>
    <xf numFmtId="169" fontId="4" fillId="0" borderId="0" xfId="0" applyNumberFormat="1" applyFont="1"/>
    <xf numFmtId="166" fontId="23" fillId="0" borderId="0" xfId="0" applyNumberFormat="1" applyFont="1"/>
    <xf numFmtId="166" fontId="22" fillId="0" borderId="0" xfId="0" applyNumberFormat="1" applyFont="1"/>
    <xf numFmtId="4" fontId="24" fillId="0" borderId="0" xfId="0" applyNumberFormat="1" applyFont="1"/>
    <xf numFmtId="165" fontId="16" fillId="0" borderId="0" xfId="0" applyNumberFormat="1" applyFont="1"/>
    <xf numFmtId="9" fontId="23" fillId="0" borderId="0" xfId="0" applyNumberFormat="1" applyFont="1" applyAlignment="1">
      <alignment horizontal="center"/>
    </xf>
    <xf numFmtId="175" fontId="25" fillId="5" borderId="0" xfId="0" applyNumberFormat="1" applyFont="1" applyFill="1"/>
    <xf numFmtId="167" fontId="12" fillId="0" borderId="0" xfId="0" applyNumberFormat="1" applyFont="1"/>
    <xf numFmtId="176" fontId="12" fillId="0" borderId="0" xfId="0" applyNumberFormat="1" applyFont="1"/>
    <xf numFmtId="171" fontId="12" fillId="0" borderId="0" xfId="0" applyNumberFormat="1" applyFont="1"/>
    <xf numFmtId="175" fontId="12" fillId="0" borderId="0" xfId="0" applyNumberFormat="1" applyFont="1"/>
    <xf numFmtId="175" fontId="26" fillId="5" borderId="0" xfId="0" applyNumberFormat="1" applyFont="1" applyFill="1" applyAlignment="1">
      <alignment horizontal="right"/>
    </xf>
    <xf numFmtId="165" fontId="23" fillId="0" borderId="0" xfId="0" applyNumberFormat="1" applyFont="1"/>
    <xf numFmtId="172" fontId="23" fillId="0" borderId="0" xfId="0" applyNumberFormat="1" applyFont="1"/>
    <xf numFmtId="0" fontId="23" fillId="0" borderId="0" xfId="0" applyFont="1"/>
    <xf numFmtId="0" fontId="25" fillId="5" borderId="0" xfId="0" applyFont="1" applyFill="1"/>
    <xf numFmtId="10" fontId="16" fillId="0" borderId="0" xfId="0" applyNumberFormat="1" applyFont="1"/>
    <xf numFmtId="165" fontId="25" fillId="5" borderId="0" xfId="0" applyNumberFormat="1" applyFont="1" applyFill="1"/>
    <xf numFmtId="175" fontId="27" fillId="5" borderId="0" xfId="0" applyNumberFormat="1" applyFont="1" applyFill="1"/>
    <xf numFmtId="3" fontId="27" fillId="5" borderId="0" xfId="0" applyNumberFormat="1" applyFont="1" applyFill="1"/>
    <xf numFmtId="0" fontId="16" fillId="4" borderId="0" xfId="0" applyFont="1" applyFill="1"/>
    <xf numFmtId="3" fontId="28" fillId="5" borderId="0" xfId="0" applyNumberFormat="1" applyFont="1" applyFill="1" applyAlignment="1">
      <alignment horizontal="left"/>
    </xf>
    <xf numFmtId="176" fontId="28" fillId="5" borderId="0" xfId="0" applyNumberFormat="1" applyFont="1" applyFill="1" applyAlignment="1">
      <alignment horizontal="left"/>
    </xf>
    <xf numFmtId="166" fontId="23" fillId="0" borderId="0" xfId="0" applyNumberFormat="1" applyFont="1" applyAlignment="1">
      <alignment vertical="center"/>
    </xf>
    <xf numFmtId="175" fontId="29" fillId="5" borderId="0" xfId="0" applyNumberFormat="1" applyFont="1" applyFill="1"/>
    <xf numFmtId="165" fontId="27" fillId="5" borderId="0" xfId="0" applyNumberFormat="1" applyFont="1" applyFill="1"/>
    <xf numFmtId="3" fontId="23" fillId="0" borderId="0" xfId="0" applyNumberFormat="1" applyFont="1"/>
    <xf numFmtId="0" fontId="27" fillId="5" borderId="0" xfId="0" applyFont="1" applyFill="1"/>
    <xf numFmtId="3" fontId="25" fillId="5" borderId="0" xfId="0" applyNumberFormat="1" applyFont="1" applyFill="1"/>
    <xf numFmtId="175" fontId="16" fillId="0" borderId="0" xfId="0" applyNumberFormat="1" applyFont="1"/>
    <xf numFmtId="3" fontId="16" fillId="0" borderId="0" xfId="0" applyNumberFormat="1" applyFont="1"/>
    <xf numFmtId="0" fontId="16" fillId="0" borderId="0" xfId="0" applyFont="1" applyAlignment="1">
      <alignment horizontal="center"/>
    </xf>
    <xf numFmtId="4" fontId="23" fillId="0" borderId="0" xfId="0" applyNumberFormat="1" applyFont="1"/>
    <xf numFmtId="166" fontId="4" fillId="0" borderId="0" xfId="0" applyNumberFormat="1" applyFont="1"/>
    <xf numFmtId="169" fontId="18" fillId="4" borderId="0" xfId="0" applyNumberFormat="1" applyFont="1" applyFill="1" applyAlignment="1">
      <alignment vertical="center"/>
    </xf>
    <xf numFmtId="166" fontId="18" fillId="4" borderId="0" xfId="0" applyNumberFormat="1" applyFont="1" applyFill="1" applyAlignment="1">
      <alignment vertical="center"/>
    </xf>
    <xf numFmtId="166" fontId="18" fillId="4" borderId="0" xfId="0" applyNumberFormat="1" applyFont="1" applyFill="1" applyAlignment="1">
      <alignment horizontal="center" vertical="center"/>
    </xf>
    <xf numFmtId="169" fontId="17" fillId="4" borderId="0" xfId="0" applyNumberFormat="1" applyFont="1" applyFill="1" applyAlignment="1">
      <alignment vertical="center"/>
    </xf>
    <xf numFmtId="166" fontId="17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7" fillId="0" borderId="13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172" fontId="18" fillId="0" borderId="13" xfId="0" applyNumberFormat="1" applyFont="1" applyBorder="1" applyAlignment="1">
      <alignment vertical="center"/>
    </xf>
    <xf numFmtId="177" fontId="17" fillId="0" borderId="7" xfId="0" applyNumberFormat="1" applyFont="1" applyBorder="1" applyAlignment="1">
      <alignment horizontal="center" vertical="center"/>
    </xf>
    <xf numFmtId="177" fontId="17" fillId="0" borderId="14" xfId="0" applyNumberFormat="1" applyFont="1" applyBorder="1" applyAlignment="1">
      <alignment horizontal="center" vertical="center"/>
    </xf>
    <xf numFmtId="177" fontId="17" fillId="5" borderId="14" xfId="0" applyNumberFormat="1" applyFont="1" applyFill="1" applyBorder="1" applyAlignment="1">
      <alignment horizontal="center" vertical="center" wrapText="1"/>
    </xf>
    <xf numFmtId="10" fontId="17" fillId="5" borderId="14" xfId="0" applyNumberFormat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65" fontId="17" fillId="0" borderId="14" xfId="0" applyNumberFormat="1" applyFont="1" applyBorder="1" applyAlignment="1">
      <alignment vertical="center"/>
    </xf>
    <xf numFmtId="165" fontId="17" fillId="0" borderId="8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165" fontId="18" fillId="3" borderId="14" xfId="0" applyNumberFormat="1" applyFont="1" applyFill="1" applyBorder="1" applyAlignment="1">
      <alignment horizontal="right" vertical="center"/>
    </xf>
    <xf numFmtId="165" fontId="18" fillId="5" borderId="14" xfId="0" applyNumberFormat="1" applyFont="1" applyFill="1" applyBorder="1" applyAlignment="1">
      <alignment horizontal="right" vertical="center"/>
    </xf>
    <xf numFmtId="166" fontId="18" fillId="3" borderId="14" xfId="0" applyNumberFormat="1" applyFont="1" applyFill="1" applyBorder="1" applyAlignment="1">
      <alignment horizontal="right" vertical="center"/>
    </xf>
    <xf numFmtId="165" fontId="18" fillId="0" borderId="14" xfId="0" applyNumberFormat="1" applyFont="1" applyBorder="1" applyAlignment="1">
      <alignment horizontal="right" vertical="center"/>
    </xf>
    <xf numFmtId="10" fontId="17" fillId="0" borderId="14" xfId="0" applyNumberFormat="1" applyFont="1" applyBorder="1" applyAlignment="1">
      <alignment horizontal="center" vertical="center"/>
    </xf>
    <xf numFmtId="178" fontId="18" fillId="3" borderId="14" xfId="0" applyNumberFormat="1" applyFont="1" applyFill="1" applyBorder="1" applyAlignment="1">
      <alignment horizontal="right" vertical="center"/>
    </xf>
    <xf numFmtId="178" fontId="22" fillId="0" borderId="0" xfId="0" applyNumberFormat="1" applyFont="1" applyAlignment="1">
      <alignment horizontal="center" vertical="center"/>
    </xf>
    <xf numFmtId="3" fontId="17" fillId="0" borderId="7" xfId="0" applyNumberFormat="1" applyFont="1" applyBorder="1" applyAlignment="1">
      <alignment vertical="center"/>
    </xf>
    <xf numFmtId="165" fontId="17" fillId="3" borderId="14" xfId="0" applyNumberFormat="1" applyFont="1" applyFill="1" applyBorder="1" applyAlignment="1">
      <alignment horizontal="right" vertical="center"/>
    </xf>
    <xf numFmtId="165" fontId="17" fillId="5" borderId="14" xfId="0" applyNumberFormat="1" applyFont="1" applyFill="1" applyBorder="1" applyAlignment="1">
      <alignment horizontal="right" vertical="center"/>
    </xf>
    <xf numFmtId="165" fontId="17" fillId="0" borderId="14" xfId="0" applyNumberFormat="1" applyFont="1" applyBorder="1" applyAlignment="1">
      <alignment horizontal="right" vertical="center"/>
    </xf>
    <xf numFmtId="10" fontId="17" fillId="0" borderId="13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right" vertical="center"/>
    </xf>
    <xf numFmtId="166" fontId="15" fillId="0" borderId="0" xfId="0" applyNumberFormat="1" applyFont="1" applyAlignment="1">
      <alignment vertical="center"/>
    </xf>
    <xf numFmtId="165" fontId="17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3" fontId="4" fillId="4" borderId="0" xfId="0" applyNumberFormat="1" applyFont="1" applyFill="1"/>
    <xf numFmtId="166" fontId="30" fillId="8" borderId="0" xfId="0" applyNumberFormat="1" applyFont="1" applyFill="1"/>
    <xf numFmtId="171" fontId="4" fillId="4" borderId="0" xfId="0" applyNumberFormat="1" applyFont="1" applyFill="1"/>
    <xf numFmtId="0" fontId="31" fillId="0" borderId="0" xfId="0" applyFont="1"/>
    <xf numFmtId="167" fontId="29" fillId="4" borderId="0" xfId="0" applyNumberFormat="1" applyFont="1" applyFill="1"/>
    <xf numFmtId="166" fontId="25" fillId="5" borderId="0" xfId="0" applyNumberFormat="1" applyFont="1" applyFill="1"/>
    <xf numFmtId="166" fontId="27" fillId="4" borderId="0" xfId="0" applyNumberFormat="1" applyFont="1" applyFill="1"/>
    <xf numFmtId="175" fontId="15" fillId="0" borderId="8" xfId="0" applyNumberFormat="1" applyFont="1" applyBorder="1" applyAlignment="1">
      <alignment horizontal="center"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175" fontId="11" fillId="0" borderId="8" xfId="0" applyNumberFormat="1" applyFont="1" applyBorder="1" applyAlignment="1">
      <alignment horizontal="left" vertical="center"/>
    </xf>
    <xf numFmtId="165" fontId="9" fillId="0" borderId="8" xfId="0" applyNumberFormat="1" applyFont="1" applyBorder="1" applyAlignment="1">
      <alignment vertical="center"/>
    </xf>
    <xf numFmtId="165" fontId="11" fillId="4" borderId="0" xfId="0" applyNumberFormat="1" applyFont="1" applyFill="1" applyAlignment="1">
      <alignment vertical="center"/>
    </xf>
    <xf numFmtId="3" fontId="10" fillId="0" borderId="7" xfId="0" applyNumberFormat="1" applyFont="1" applyBorder="1" applyAlignment="1">
      <alignment horizontal="center" vertical="center"/>
    </xf>
    <xf numFmtId="177" fontId="12" fillId="0" borderId="0" xfId="0" applyNumberFormat="1" applyFont="1"/>
    <xf numFmtId="165" fontId="11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72" fontId="18" fillId="0" borderId="0" xfId="0" applyNumberFormat="1" applyFont="1" applyAlignment="1">
      <alignment vertical="center"/>
    </xf>
    <xf numFmtId="0" fontId="33" fillId="5" borderId="0" xfId="0" applyFont="1" applyFill="1" applyAlignment="1">
      <alignment horizontal="right"/>
    </xf>
    <xf numFmtId="173" fontId="18" fillId="0" borderId="0" xfId="0" applyNumberFormat="1" applyFont="1"/>
    <xf numFmtId="176" fontId="12" fillId="4" borderId="0" xfId="0" applyNumberFormat="1" applyFont="1" applyFill="1"/>
    <xf numFmtId="3" fontId="4" fillId="0" borderId="0" xfId="0" applyNumberFormat="1" applyFont="1" applyAlignment="1">
      <alignment horizontal="center" vertical="center"/>
    </xf>
    <xf numFmtId="172" fontId="4" fillId="0" borderId="0" xfId="0" applyNumberFormat="1" applyFont="1" applyAlignment="1">
      <alignment vertical="center"/>
    </xf>
    <xf numFmtId="175" fontId="11" fillId="0" borderId="0" xfId="0" applyNumberFormat="1" applyFont="1" applyAlignment="1">
      <alignment horizontal="center" vertical="center"/>
    </xf>
    <xf numFmtId="171" fontId="4" fillId="0" borderId="0" xfId="0" applyNumberFormat="1" applyFont="1"/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10" fillId="5" borderId="9" xfId="0" applyFont="1" applyFill="1" applyBorder="1" applyAlignment="1">
      <alignment vertical="center" wrapText="1"/>
    </xf>
    <xf numFmtId="0" fontId="35" fillId="0" borderId="0" xfId="0" applyFont="1"/>
    <xf numFmtId="0" fontId="15" fillId="0" borderId="8" xfId="0" applyFont="1" applyBorder="1" applyAlignment="1">
      <alignment horizontal="center" vertical="center"/>
    </xf>
    <xf numFmtId="170" fontId="15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0" fontId="15" fillId="0" borderId="8" xfId="0" applyNumberFormat="1" applyFont="1" applyBorder="1" applyAlignment="1">
      <alignment horizontal="center" vertical="center"/>
    </xf>
    <xf numFmtId="165" fontId="4" fillId="0" borderId="0" xfId="0" applyNumberFormat="1" applyFont="1"/>
    <xf numFmtId="166" fontId="15" fillId="0" borderId="8" xfId="0" applyNumberFormat="1" applyFont="1" applyBorder="1" applyAlignment="1">
      <alignment vertical="center"/>
    </xf>
    <xf numFmtId="3" fontId="35" fillId="0" borderId="0" xfId="0" applyNumberFormat="1" applyFont="1"/>
    <xf numFmtId="173" fontId="12" fillId="0" borderId="0" xfId="0" applyNumberFormat="1" applyFont="1"/>
    <xf numFmtId="165" fontId="35" fillId="0" borderId="0" xfId="0" applyNumberFormat="1" applyFont="1"/>
    <xf numFmtId="172" fontId="35" fillId="0" borderId="0" xfId="0" applyNumberFormat="1" applyFont="1"/>
    <xf numFmtId="165" fontId="9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0" fontId="17" fillId="0" borderId="8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0" fontId="37" fillId="0" borderId="0" xfId="0" applyFont="1"/>
    <xf numFmtId="0" fontId="38" fillId="0" borderId="0" xfId="0" applyFont="1"/>
    <xf numFmtId="3" fontId="24" fillId="0" borderId="0" xfId="0" applyNumberFormat="1" applyFont="1"/>
    <xf numFmtId="172" fontId="24" fillId="0" borderId="0" xfId="0" applyNumberFormat="1" applyFont="1"/>
    <xf numFmtId="166" fontId="24" fillId="0" borderId="0" xfId="0" applyNumberFormat="1" applyFont="1"/>
    <xf numFmtId="165" fontId="39" fillId="0" borderId="0" xfId="0" applyNumberFormat="1" applyFont="1"/>
    <xf numFmtId="3" fontId="37" fillId="0" borderId="0" xfId="0" applyNumberFormat="1" applyFont="1"/>
    <xf numFmtId="3" fontId="39" fillId="0" borderId="0" xfId="0" applyNumberFormat="1" applyFont="1"/>
    <xf numFmtId="3" fontId="38" fillId="0" borderId="0" xfId="0" applyNumberFormat="1" applyFont="1"/>
    <xf numFmtId="3" fontId="40" fillId="5" borderId="0" xfId="0" applyNumberFormat="1" applyFont="1" applyFill="1"/>
    <xf numFmtId="172" fontId="40" fillId="5" borderId="0" xfId="0" applyNumberFormat="1" applyFont="1" applyFill="1"/>
    <xf numFmtId="3" fontId="41" fillId="0" borderId="0" xfId="0" applyNumberFormat="1" applyFont="1" applyAlignment="1">
      <alignment vertical="center"/>
    </xf>
    <xf numFmtId="3" fontId="42" fillId="5" borderId="0" xfId="0" applyNumberFormat="1" applyFont="1" applyFill="1" applyAlignment="1">
      <alignment horizontal="left"/>
    </xf>
    <xf numFmtId="4" fontId="12" fillId="0" borderId="0" xfId="0" applyNumberFormat="1" applyFont="1"/>
    <xf numFmtId="0" fontId="24" fillId="0" borderId="0" xfId="0" applyFont="1"/>
    <xf numFmtId="171" fontId="24" fillId="0" borderId="0" xfId="0" applyNumberFormat="1" applyFont="1"/>
    <xf numFmtId="4" fontId="25" fillId="5" borderId="0" xfId="0" applyNumberFormat="1" applyFont="1" applyFill="1"/>
    <xf numFmtId="172" fontId="25" fillId="5" borderId="0" xfId="0" applyNumberFormat="1" applyFont="1" applyFill="1"/>
    <xf numFmtId="169" fontId="41" fillId="0" borderId="0" xfId="0" applyNumberFormat="1" applyFont="1" applyAlignment="1">
      <alignment vertical="center"/>
    </xf>
    <xf numFmtId="166" fontId="41" fillId="4" borderId="0" xfId="0" applyNumberFormat="1" applyFont="1" applyFill="1" applyAlignment="1">
      <alignment horizontal="center" vertical="center"/>
    </xf>
    <xf numFmtId="173" fontId="24" fillId="0" borderId="0" xfId="0" applyNumberFormat="1" applyFont="1"/>
    <xf numFmtId="169" fontId="41" fillId="4" borderId="0" xfId="0" applyNumberFormat="1" applyFont="1" applyFill="1" applyAlignment="1">
      <alignment vertical="center"/>
    </xf>
    <xf numFmtId="169" fontId="36" fillId="4" borderId="0" xfId="0" applyNumberFormat="1" applyFont="1" applyFill="1" applyAlignment="1">
      <alignment vertical="center"/>
    </xf>
    <xf numFmtId="169" fontId="36" fillId="0" borderId="0" xfId="0" applyNumberFormat="1" applyFont="1" applyAlignment="1">
      <alignment vertical="center"/>
    </xf>
    <xf numFmtId="166" fontId="22" fillId="9" borderId="8" xfId="0" applyNumberFormat="1" applyFont="1" applyFill="1" applyBorder="1" applyAlignment="1">
      <alignment vertical="center" wrapText="1"/>
    </xf>
    <xf numFmtId="166" fontId="18" fillId="9" borderId="8" xfId="0" applyNumberFormat="1" applyFont="1" applyFill="1" applyBorder="1" applyAlignment="1">
      <alignment vertical="center"/>
    </xf>
    <xf numFmtId="166" fontId="18" fillId="9" borderId="1" xfId="0" applyNumberFormat="1" applyFont="1" applyFill="1" applyBorder="1" applyAlignment="1">
      <alignment vertical="center"/>
    </xf>
    <xf numFmtId="166" fontId="18" fillId="10" borderId="8" xfId="0" applyNumberFormat="1" applyFont="1" applyFill="1" applyBorder="1" applyAlignment="1">
      <alignment horizontal="center" vertical="center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44" fillId="12" borderId="19" xfId="0" applyFont="1" applyFill="1" applyBorder="1" applyAlignment="1">
      <alignment horizontal="center" vertical="center" wrapText="1"/>
    </xf>
    <xf numFmtId="0" fontId="45" fillId="11" borderId="16" xfId="0" applyFont="1" applyFill="1" applyBorder="1" applyAlignment="1">
      <alignment horizontal="center" vertical="center" wrapText="1"/>
    </xf>
    <xf numFmtId="179" fontId="45" fillId="11" borderId="16" xfId="1" applyNumberFormat="1" applyFont="1" applyFill="1" applyBorder="1" applyAlignment="1">
      <alignment horizontal="center" vertical="center" wrapText="1"/>
    </xf>
    <xf numFmtId="10" fontId="45" fillId="11" borderId="16" xfId="2" applyNumberFormat="1" applyFont="1" applyFill="1" applyBorder="1" applyAlignment="1">
      <alignment horizontal="center" vertical="center" wrapText="1"/>
    </xf>
    <xf numFmtId="0" fontId="46" fillId="11" borderId="17" xfId="0" applyFont="1" applyFill="1" applyBorder="1" applyAlignment="1">
      <alignment horizontal="center" vertical="center" wrapText="1"/>
    </xf>
    <xf numFmtId="179" fontId="46" fillId="11" borderId="18" xfId="0" applyNumberFormat="1" applyFont="1" applyFill="1" applyBorder="1" applyAlignment="1">
      <alignment horizontal="center" vertical="center" wrapText="1"/>
    </xf>
    <xf numFmtId="10" fontId="46" fillId="11" borderId="18" xfId="2" applyNumberFormat="1" applyFont="1" applyFill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47" fillId="0" borderId="6" xfId="3" applyFont="1" applyBorder="1" applyAlignment="1">
      <alignment horizontal="center" vertical="center"/>
    </xf>
    <xf numFmtId="0" fontId="7" fillId="0" borderId="6" xfId="3" applyFont="1" applyBorder="1"/>
    <xf numFmtId="0" fontId="18" fillId="0" borderId="9" xfId="3" applyFont="1"/>
    <xf numFmtId="0" fontId="43" fillId="0" borderId="9" xfId="3"/>
    <xf numFmtId="0" fontId="17" fillId="3" borderId="8" xfId="3" applyFont="1" applyFill="1" applyBorder="1" applyAlignment="1">
      <alignment horizontal="center" vertical="center"/>
    </xf>
    <xf numFmtId="169" fontId="17" fillId="3" borderId="8" xfId="3" applyNumberFormat="1" applyFont="1" applyFill="1" applyBorder="1" applyAlignment="1">
      <alignment vertical="center"/>
    </xf>
    <xf numFmtId="169" fontId="17" fillId="4" borderId="8" xfId="3" applyNumberFormat="1" applyFont="1" applyFill="1" applyBorder="1" applyAlignment="1">
      <alignment vertical="center"/>
    </xf>
    <xf numFmtId="166" fontId="17" fillId="0" borderId="8" xfId="3" applyNumberFormat="1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169" fontId="18" fillId="0" borderId="8" xfId="3" applyNumberFormat="1" applyFont="1" applyBorder="1" applyAlignment="1">
      <alignment horizontal="center" vertical="center"/>
    </xf>
    <xf numFmtId="166" fontId="18" fillId="0" borderId="8" xfId="3" applyNumberFormat="1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4" fontId="4" fillId="0" borderId="9" xfId="3" applyNumberFormat="1" applyFont="1"/>
    <xf numFmtId="170" fontId="17" fillId="0" borderId="8" xfId="3" applyNumberFormat="1" applyFont="1" applyBorder="1" applyAlignment="1">
      <alignment horizontal="center" vertical="center"/>
    </xf>
    <xf numFmtId="0" fontId="18" fillId="0" borderId="8" xfId="3" applyFont="1" applyBorder="1" applyAlignment="1">
      <alignment horizontal="right" vertical="center"/>
    </xf>
    <xf numFmtId="169" fontId="18" fillId="4" borderId="8" xfId="3" applyNumberFormat="1" applyFont="1" applyFill="1" applyBorder="1" applyAlignment="1">
      <alignment horizontal="left" vertical="center"/>
    </xf>
    <xf numFmtId="169" fontId="18" fillId="0" borderId="8" xfId="3" applyNumberFormat="1" applyFont="1" applyBorder="1" applyAlignment="1">
      <alignment horizontal="left" vertical="center"/>
    </xf>
    <xf numFmtId="166" fontId="18" fillId="4" borderId="8" xfId="3" applyNumberFormat="1" applyFont="1" applyFill="1" applyBorder="1" applyAlignment="1">
      <alignment horizontal="left" vertical="center" wrapText="1"/>
    </xf>
    <xf numFmtId="166" fontId="18" fillId="4" borderId="8" xfId="3" applyNumberFormat="1" applyFont="1" applyFill="1" applyBorder="1" applyAlignment="1">
      <alignment horizontal="center" vertical="center"/>
    </xf>
    <xf numFmtId="166" fontId="22" fillId="0" borderId="8" xfId="3" applyNumberFormat="1" applyFont="1" applyBorder="1" applyAlignment="1">
      <alignment vertical="center" wrapText="1"/>
    </xf>
    <xf numFmtId="166" fontId="22" fillId="5" borderId="8" xfId="3" applyNumberFormat="1" applyFont="1" applyFill="1" applyBorder="1" applyAlignment="1">
      <alignment vertical="center" wrapText="1"/>
    </xf>
    <xf numFmtId="165" fontId="18" fillId="0" borderId="8" xfId="3" applyNumberFormat="1" applyFont="1" applyBorder="1" applyAlignment="1">
      <alignment vertical="center"/>
    </xf>
    <xf numFmtId="10" fontId="17" fillId="0" borderId="8" xfId="3" applyNumberFormat="1" applyFont="1" applyBorder="1" applyAlignment="1">
      <alignment horizontal="center" vertical="center"/>
    </xf>
    <xf numFmtId="171" fontId="18" fillId="0" borderId="9" xfId="3" applyNumberFormat="1" applyFont="1"/>
    <xf numFmtId="172" fontId="4" fillId="0" borderId="9" xfId="3" applyNumberFormat="1" applyFont="1"/>
    <xf numFmtId="169" fontId="18" fillId="4" borderId="8" xfId="3" applyNumberFormat="1" applyFont="1" applyFill="1" applyBorder="1" applyAlignment="1">
      <alignment vertical="center"/>
    </xf>
    <xf numFmtId="169" fontId="18" fillId="0" borderId="8" xfId="3" applyNumberFormat="1" applyFont="1" applyBorder="1" applyAlignment="1">
      <alignment vertical="center"/>
    </xf>
    <xf numFmtId="166" fontId="18" fillId="4" borderId="8" xfId="3" applyNumberFormat="1" applyFont="1" applyFill="1" applyBorder="1" applyAlignment="1">
      <alignment vertical="center"/>
    </xf>
    <xf numFmtId="171" fontId="18" fillId="0" borderId="8" xfId="3" applyNumberFormat="1" applyFont="1" applyBorder="1" applyAlignment="1">
      <alignment vertical="center"/>
    </xf>
    <xf numFmtId="4" fontId="18" fillId="0" borderId="8" xfId="3" applyNumberFormat="1" applyFont="1" applyBorder="1"/>
    <xf numFmtId="3" fontId="18" fillId="0" borderId="8" xfId="3" applyNumberFormat="1" applyFont="1" applyBorder="1" applyAlignment="1">
      <alignment vertical="center"/>
    </xf>
    <xf numFmtId="0" fontId="18" fillId="0" borderId="8" xfId="3" applyFont="1" applyBorder="1" applyAlignment="1">
      <alignment horizontal="center" vertical="center"/>
    </xf>
    <xf numFmtId="169" fontId="17" fillId="0" borderId="8" xfId="3" applyNumberFormat="1" applyFont="1" applyBorder="1" applyAlignment="1">
      <alignment vertical="center"/>
    </xf>
    <xf numFmtId="166" fontId="17" fillId="3" borderId="8" xfId="3" applyNumberFormat="1" applyFont="1" applyFill="1" applyBorder="1" applyAlignment="1">
      <alignment horizontal="center" vertical="center"/>
    </xf>
    <xf numFmtId="10" fontId="17" fillId="3" borderId="8" xfId="3" applyNumberFormat="1" applyFont="1" applyFill="1" applyBorder="1" applyAlignment="1">
      <alignment horizontal="center" vertical="center"/>
    </xf>
    <xf numFmtId="166" fontId="17" fillId="4" borderId="8" xfId="3" applyNumberFormat="1" applyFont="1" applyFill="1" applyBorder="1" applyAlignment="1">
      <alignment horizontal="center" vertical="center"/>
    </xf>
    <xf numFmtId="166" fontId="18" fillId="0" borderId="9" xfId="3" applyNumberFormat="1" applyFont="1"/>
    <xf numFmtId="166" fontId="9" fillId="0" borderId="9" xfId="3" applyNumberFormat="1" applyFont="1" applyAlignment="1">
      <alignment horizontal="right"/>
    </xf>
    <xf numFmtId="10" fontId="18" fillId="4" borderId="8" xfId="3" applyNumberFormat="1" applyFont="1" applyFill="1" applyBorder="1" applyAlignment="1">
      <alignment horizontal="center" vertical="center"/>
    </xf>
    <xf numFmtId="3" fontId="18" fillId="0" borderId="9" xfId="3" applyNumberFormat="1" applyFont="1"/>
    <xf numFmtId="10" fontId="18" fillId="0" borderId="8" xfId="3" applyNumberFormat="1" applyFont="1" applyBorder="1" applyAlignment="1">
      <alignment horizontal="center" vertical="center"/>
    </xf>
    <xf numFmtId="169" fontId="18" fillId="4" borderId="9" xfId="3" applyNumberFormat="1" applyFont="1" applyFill="1" applyAlignment="1">
      <alignment vertical="center"/>
    </xf>
    <xf numFmtId="166" fontId="18" fillId="4" borderId="9" xfId="3" applyNumberFormat="1" applyFont="1" applyFill="1" applyAlignment="1">
      <alignment vertical="center"/>
    </xf>
    <xf numFmtId="173" fontId="18" fillId="0" borderId="8" xfId="3" applyNumberFormat="1" applyFont="1" applyBorder="1" applyAlignment="1">
      <alignment vertical="center"/>
    </xf>
    <xf numFmtId="165" fontId="18" fillId="0" borderId="9" xfId="3" applyNumberFormat="1" applyFont="1" applyAlignment="1">
      <alignment vertical="center"/>
    </xf>
    <xf numFmtId="3" fontId="18" fillId="0" borderId="9" xfId="3" applyNumberFormat="1" applyFont="1" applyAlignment="1">
      <alignment vertical="center"/>
    </xf>
    <xf numFmtId="166" fontId="18" fillId="4" borderId="9" xfId="3" applyNumberFormat="1" applyFont="1" applyFill="1" applyAlignment="1">
      <alignment horizontal="center" vertical="center"/>
    </xf>
    <xf numFmtId="166" fontId="2" fillId="0" borderId="9" xfId="3" applyNumberFormat="1" applyFont="1"/>
    <xf numFmtId="10" fontId="18" fillId="4" borderId="9" xfId="3" applyNumberFormat="1" applyFont="1" applyFill="1" applyAlignment="1">
      <alignment horizontal="center" vertical="center"/>
    </xf>
    <xf numFmtId="174" fontId="18" fillId="0" borderId="8" xfId="3" applyNumberFormat="1" applyFont="1" applyBorder="1" applyAlignment="1">
      <alignment vertical="center"/>
    </xf>
    <xf numFmtId="10" fontId="18" fillId="0" borderId="9" xfId="3" applyNumberFormat="1" applyFont="1" applyAlignment="1">
      <alignment vertical="center"/>
    </xf>
    <xf numFmtId="166" fontId="18" fillId="0" borderId="9" xfId="3" applyNumberFormat="1" applyFont="1" applyAlignment="1">
      <alignment vertical="center"/>
    </xf>
    <xf numFmtId="0" fontId="4" fillId="0" borderId="9" xfId="3" applyFont="1"/>
    <xf numFmtId="0" fontId="11" fillId="0" borderId="9" xfId="3" applyFont="1"/>
    <xf numFmtId="0" fontId="11" fillId="0" borderId="9" xfId="3" applyFont="1" applyAlignment="1">
      <alignment vertical="center"/>
    </xf>
    <xf numFmtId="166" fontId="11" fillId="0" borderId="9" xfId="3" applyNumberFormat="1" applyFont="1" applyAlignment="1">
      <alignment vertical="center"/>
    </xf>
    <xf numFmtId="172" fontId="11" fillId="0" borderId="9" xfId="3" applyNumberFormat="1" applyFont="1" applyAlignment="1">
      <alignment vertical="center"/>
    </xf>
    <xf numFmtId="172" fontId="2" fillId="0" borderId="9" xfId="3" applyNumberFormat="1" applyFont="1"/>
    <xf numFmtId="165" fontId="2" fillId="0" borderId="9" xfId="3" applyNumberFormat="1" applyFont="1"/>
    <xf numFmtId="169" fontId="4" fillId="0" borderId="9" xfId="3" applyNumberFormat="1" applyFont="1"/>
    <xf numFmtId="0" fontId="16" fillId="0" borderId="9" xfId="3" applyFont="1"/>
    <xf numFmtId="166" fontId="23" fillId="0" borderId="9" xfId="3" applyNumberFormat="1" applyFont="1"/>
    <xf numFmtId="166" fontId="22" fillId="0" borderId="9" xfId="3" applyNumberFormat="1" applyFont="1"/>
    <xf numFmtId="4" fontId="24" fillId="0" borderId="9" xfId="3" applyNumberFormat="1" applyFont="1"/>
    <xf numFmtId="165" fontId="16" fillId="0" borderId="9" xfId="3" applyNumberFormat="1" applyFont="1"/>
    <xf numFmtId="166" fontId="16" fillId="0" borderId="9" xfId="3" applyNumberFormat="1" applyFont="1"/>
    <xf numFmtId="176" fontId="2" fillId="0" borderId="9" xfId="3" applyNumberFormat="1" applyFont="1"/>
    <xf numFmtId="175" fontId="2" fillId="0" borderId="9" xfId="3" applyNumberFormat="1" applyFont="1"/>
    <xf numFmtId="175" fontId="26" fillId="5" borderId="9" xfId="3" applyNumberFormat="1" applyFont="1" applyFill="1" applyAlignment="1">
      <alignment horizontal="right"/>
    </xf>
    <xf numFmtId="0" fontId="2" fillId="0" borderId="9" xfId="3" applyFont="1"/>
    <xf numFmtId="165" fontId="23" fillId="0" borderId="9" xfId="3" applyNumberFormat="1" applyFont="1"/>
    <xf numFmtId="3" fontId="2" fillId="0" borderId="9" xfId="3" applyNumberFormat="1" applyFont="1"/>
    <xf numFmtId="172" fontId="23" fillId="0" borderId="9" xfId="3" applyNumberFormat="1" applyFont="1"/>
    <xf numFmtId="0" fontId="25" fillId="0" borderId="9" xfId="3" applyFont="1"/>
    <xf numFmtId="10" fontId="16" fillId="0" borderId="9" xfId="3" applyNumberFormat="1" applyFont="1"/>
    <xf numFmtId="165" fontId="25" fillId="5" borderId="9" xfId="3" applyNumberFormat="1" applyFont="1" applyFill="1"/>
    <xf numFmtId="175" fontId="27" fillId="5" borderId="9" xfId="3" applyNumberFormat="1" applyFont="1" applyFill="1"/>
    <xf numFmtId="175" fontId="25" fillId="5" borderId="9" xfId="3" applyNumberFormat="1" applyFont="1" applyFill="1"/>
    <xf numFmtId="10" fontId="2" fillId="0" borderId="9" xfId="3" applyNumberFormat="1" applyFont="1"/>
    <xf numFmtId="176" fontId="9" fillId="5" borderId="9" xfId="3" applyNumberFormat="1" applyFont="1" applyFill="1" applyAlignment="1">
      <alignment horizontal="left"/>
    </xf>
    <xf numFmtId="0" fontId="23" fillId="0" borderId="9" xfId="3" applyFont="1"/>
    <xf numFmtId="175" fontId="29" fillId="5" borderId="9" xfId="3" applyNumberFormat="1" applyFont="1" applyFill="1"/>
    <xf numFmtId="165" fontId="27" fillId="5" borderId="9" xfId="3" applyNumberFormat="1" applyFont="1" applyFill="1"/>
    <xf numFmtId="0" fontId="25" fillId="5" borderId="9" xfId="3" applyFont="1" applyFill="1"/>
    <xf numFmtId="0" fontId="16" fillId="0" borderId="9" xfId="3" applyFont="1" applyAlignment="1">
      <alignment horizontal="center"/>
    </xf>
    <xf numFmtId="166" fontId="4" fillId="0" borderId="9" xfId="3" applyNumberFormat="1" applyFont="1"/>
    <xf numFmtId="169" fontId="17" fillId="4" borderId="9" xfId="3" applyNumberFormat="1" applyFont="1" applyFill="1" applyAlignment="1">
      <alignment vertical="center"/>
    </xf>
    <xf numFmtId="166" fontId="17" fillId="4" borderId="9" xfId="3" applyNumberFormat="1" applyFont="1" applyFill="1" applyAlignment="1">
      <alignment horizontal="center" vertical="center"/>
    </xf>
    <xf numFmtId="166" fontId="18" fillId="13" borderId="8" xfId="3" applyNumberFormat="1" applyFont="1" applyFill="1" applyBorder="1" applyAlignment="1">
      <alignment vertical="center"/>
    </xf>
    <xf numFmtId="169" fontId="17" fillId="0" borderId="7" xfId="3" applyNumberFormat="1" applyFont="1" applyBorder="1" applyAlignment="1">
      <alignment horizontal="center" vertical="center"/>
    </xf>
    <xf numFmtId="0" fontId="48" fillId="0" borderId="0" xfId="0" applyFont="1"/>
    <xf numFmtId="171" fontId="18" fillId="13" borderId="8" xfId="3" applyNumberFormat="1" applyFont="1" applyFill="1" applyBorder="1" applyAlignment="1">
      <alignment vertical="center"/>
    </xf>
    <xf numFmtId="0" fontId="7" fillId="0" borderId="6" xfId="4" applyFont="1" applyBorder="1"/>
    <xf numFmtId="0" fontId="18" fillId="0" borderId="9" xfId="4" applyFont="1"/>
    <xf numFmtId="0" fontId="2" fillId="0" borderId="9" xfId="4"/>
    <xf numFmtId="0" fontId="17" fillId="0" borderId="8" xfId="4" applyFont="1" applyBorder="1" applyAlignment="1">
      <alignment horizontal="center" vertical="center" wrapText="1"/>
    </xf>
    <xf numFmtId="0" fontId="17" fillId="3" borderId="8" xfId="4" applyFont="1" applyFill="1" applyBorder="1" applyAlignment="1">
      <alignment horizontal="center" vertical="center"/>
    </xf>
    <xf numFmtId="169" fontId="17" fillId="3" borderId="8" xfId="4" applyNumberFormat="1" applyFont="1" applyFill="1" applyBorder="1" applyAlignment="1">
      <alignment vertical="center"/>
    </xf>
    <xf numFmtId="169" fontId="17" fillId="4" borderId="8" xfId="4" applyNumberFormat="1" applyFont="1" applyFill="1" applyBorder="1" applyAlignment="1">
      <alignment vertical="center"/>
    </xf>
    <xf numFmtId="166" fontId="17" fillId="0" borderId="8" xfId="4" applyNumberFormat="1" applyFont="1" applyBorder="1" applyAlignment="1">
      <alignment horizontal="center" vertical="center" wrapText="1"/>
    </xf>
    <xf numFmtId="169" fontId="18" fillId="0" borderId="8" xfId="4" applyNumberFormat="1" applyFont="1" applyBorder="1" applyAlignment="1">
      <alignment horizontal="center" vertical="center"/>
    </xf>
    <xf numFmtId="166" fontId="18" fillId="0" borderId="8" xfId="4" applyNumberFormat="1" applyFont="1" applyBorder="1" applyAlignment="1">
      <alignment vertical="center"/>
    </xf>
    <xf numFmtId="0" fontId="18" fillId="0" borderId="8" xfId="4" applyFont="1" applyBorder="1" applyAlignment="1">
      <alignment vertical="center"/>
    </xf>
    <xf numFmtId="4" fontId="4" fillId="0" borderId="9" xfId="4" applyNumberFormat="1" applyFont="1"/>
    <xf numFmtId="170" fontId="17" fillId="0" borderId="8" xfId="4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right" vertical="center"/>
    </xf>
    <xf numFmtId="169" fontId="18" fillId="4" borderId="8" xfId="4" applyNumberFormat="1" applyFont="1" applyFill="1" applyBorder="1" applyAlignment="1">
      <alignment horizontal="left" vertical="center"/>
    </xf>
    <xf numFmtId="169" fontId="18" fillId="0" borderId="8" xfId="4" applyNumberFormat="1" applyFont="1" applyBorder="1" applyAlignment="1">
      <alignment horizontal="left" vertical="center"/>
    </xf>
    <xf numFmtId="166" fontId="18" fillId="4" borderId="8" xfId="4" applyNumberFormat="1" applyFont="1" applyFill="1" applyBorder="1" applyAlignment="1">
      <alignment horizontal="left" vertical="center" wrapText="1"/>
    </xf>
    <xf numFmtId="166" fontId="18" fillId="4" borderId="8" xfId="4" applyNumberFormat="1" applyFont="1" applyFill="1" applyBorder="1" applyAlignment="1">
      <alignment horizontal="center" vertical="center"/>
    </xf>
    <xf numFmtId="166" fontId="22" fillId="0" borderId="8" xfId="4" applyNumberFormat="1" applyFont="1" applyBorder="1" applyAlignment="1">
      <alignment vertical="center" wrapText="1"/>
    </xf>
    <xf numFmtId="166" fontId="22" fillId="5" borderId="8" xfId="4" applyNumberFormat="1" applyFont="1" applyFill="1" applyBorder="1" applyAlignment="1">
      <alignment vertical="center" wrapText="1"/>
    </xf>
    <xf numFmtId="165" fontId="18" fillId="0" borderId="8" xfId="4" applyNumberFormat="1" applyFont="1" applyBorder="1" applyAlignment="1">
      <alignment vertical="center"/>
    </xf>
    <xf numFmtId="10" fontId="17" fillId="0" borderId="8" xfId="4" applyNumberFormat="1" applyFont="1" applyBorder="1" applyAlignment="1">
      <alignment horizontal="center" vertical="center"/>
    </xf>
    <xf numFmtId="171" fontId="18" fillId="0" borderId="9" xfId="4" applyNumberFormat="1" applyFont="1"/>
    <xf numFmtId="172" fontId="4" fillId="0" borderId="9" xfId="4" applyNumberFormat="1" applyFont="1"/>
    <xf numFmtId="169" fontId="18" fillId="4" borderId="8" xfId="4" applyNumberFormat="1" applyFont="1" applyFill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6" fontId="18" fillId="4" borderId="8" xfId="4" applyNumberFormat="1" applyFont="1" applyFill="1" applyBorder="1" applyAlignment="1">
      <alignment vertical="center"/>
    </xf>
    <xf numFmtId="171" fontId="18" fillId="0" borderId="8" xfId="4" applyNumberFormat="1" applyFont="1" applyBorder="1" applyAlignment="1">
      <alignment vertical="center"/>
    </xf>
    <xf numFmtId="4" fontId="18" fillId="0" borderId="8" xfId="4" applyNumberFormat="1" applyFont="1" applyBorder="1"/>
    <xf numFmtId="3" fontId="18" fillId="0" borderId="8" xfId="4" applyNumberFormat="1" applyFont="1" applyBorder="1" applyAlignment="1">
      <alignment vertical="center"/>
    </xf>
    <xf numFmtId="0" fontId="18" fillId="0" borderId="8" xfId="4" applyFont="1" applyBorder="1" applyAlignment="1">
      <alignment horizontal="center" vertical="center"/>
    </xf>
    <xf numFmtId="169" fontId="17" fillId="0" borderId="8" xfId="4" applyNumberFormat="1" applyFont="1" applyBorder="1" applyAlignment="1">
      <alignment vertical="center"/>
    </xf>
    <xf numFmtId="166" fontId="17" fillId="3" borderId="8" xfId="4" applyNumberFormat="1" applyFont="1" applyFill="1" applyBorder="1" applyAlignment="1">
      <alignment horizontal="center" vertical="center"/>
    </xf>
    <xf numFmtId="10" fontId="17" fillId="3" borderId="8" xfId="4" applyNumberFormat="1" applyFont="1" applyFill="1" applyBorder="1" applyAlignment="1">
      <alignment horizontal="center" vertical="center"/>
    </xf>
    <xf numFmtId="166" fontId="17" fillId="4" borderId="8" xfId="4" applyNumberFormat="1" applyFont="1" applyFill="1" applyBorder="1" applyAlignment="1">
      <alignment horizontal="center" vertical="center"/>
    </xf>
    <xf numFmtId="166" fontId="18" fillId="0" borderId="9" xfId="4" applyNumberFormat="1" applyFont="1"/>
    <xf numFmtId="166" fontId="9" fillId="0" borderId="9" xfId="4" applyNumberFormat="1" applyFont="1" applyAlignment="1">
      <alignment horizontal="right"/>
    </xf>
    <xf numFmtId="10" fontId="18" fillId="4" borderId="8" xfId="4" applyNumberFormat="1" applyFont="1" applyFill="1" applyBorder="1" applyAlignment="1">
      <alignment horizontal="center" vertical="center"/>
    </xf>
    <xf numFmtId="3" fontId="18" fillId="0" borderId="9" xfId="4" applyNumberFormat="1" applyFont="1"/>
    <xf numFmtId="10" fontId="18" fillId="0" borderId="8" xfId="4" applyNumberFormat="1" applyFont="1" applyBorder="1" applyAlignment="1">
      <alignment horizontal="center" vertical="center"/>
    </xf>
    <xf numFmtId="169" fontId="18" fillId="4" borderId="9" xfId="4" applyNumberFormat="1" applyFont="1" applyFill="1" applyAlignment="1">
      <alignment vertical="center"/>
    </xf>
    <xf numFmtId="166" fontId="18" fillId="4" borderId="9" xfId="4" applyNumberFormat="1" applyFont="1" applyFill="1" applyAlignment="1">
      <alignment vertical="center"/>
    </xf>
    <xf numFmtId="173" fontId="18" fillId="0" borderId="8" xfId="4" applyNumberFormat="1" applyFont="1" applyBorder="1" applyAlignment="1">
      <alignment vertical="center"/>
    </xf>
    <xf numFmtId="165" fontId="18" fillId="0" borderId="9" xfId="4" applyNumberFormat="1" applyFont="1" applyAlignment="1">
      <alignment vertical="center"/>
    </xf>
    <xf numFmtId="3" fontId="18" fillId="0" borderId="9" xfId="4" applyNumberFormat="1" applyFont="1" applyAlignment="1">
      <alignment vertical="center"/>
    </xf>
    <xf numFmtId="166" fontId="18" fillId="4" borderId="9" xfId="4" applyNumberFormat="1" applyFont="1" applyFill="1" applyAlignment="1">
      <alignment horizontal="center" vertical="center"/>
    </xf>
    <xf numFmtId="166" fontId="2" fillId="0" borderId="9" xfId="4" applyNumberFormat="1"/>
    <xf numFmtId="10" fontId="18" fillId="4" borderId="9" xfId="4" applyNumberFormat="1" applyFont="1" applyFill="1" applyAlignment="1">
      <alignment horizontal="center" vertical="center"/>
    </xf>
    <xf numFmtId="174" fontId="18" fillId="0" borderId="8" xfId="4" applyNumberFormat="1" applyFont="1" applyBorder="1" applyAlignment="1">
      <alignment vertical="center"/>
    </xf>
    <xf numFmtId="10" fontId="18" fillId="0" borderId="9" xfId="4" applyNumberFormat="1" applyFont="1" applyAlignment="1">
      <alignment vertical="center"/>
    </xf>
    <xf numFmtId="166" fontId="18" fillId="0" borderId="9" xfId="4" applyNumberFormat="1" applyFont="1" applyAlignment="1">
      <alignment vertical="center"/>
    </xf>
    <xf numFmtId="0" fontId="4" fillId="0" borderId="9" xfId="4" applyFont="1"/>
    <xf numFmtId="0" fontId="11" fillId="0" borderId="9" xfId="4" applyFont="1"/>
    <xf numFmtId="0" fontId="11" fillId="0" borderId="9" xfId="4" applyFont="1" applyAlignment="1">
      <alignment vertical="center"/>
    </xf>
    <xf numFmtId="166" fontId="11" fillId="0" borderId="9" xfId="4" applyNumberFormat="1" applyFont="1" applyAlignment="1">
      <alignment vertical="center"/>
    </xf>
    <xf numFmtId="172" fontId="11" fillId="0" borderId="9" xfId="4" applyNumberFormat="1" applyFont="1" applyAlignment="1">
      <alignment vertical="center"/>
    </xf>
    <xf numFmtId="172" fontId="2" fillId="0" borderId="9" xfId="4" applyNumberFormat="1"/>
    <xf numFmtId="165" fontId="2" fillId="0" borderId="9" xfId="4" applyNumberFormat="1"/>
    <xf numFmtId="169" fontId="4" fillId="0" borderId="9" xfId="4" applyNumberFormat="1" applyFont="1"/>
    <xf numFmtId="0" fontId="16" fillId="0" borderId="9" xfId="4" applyFont="1"/>
    <xf numFmtId="166" fontId="23" fillId="0" borderId="9" xfId="4" applyNumberFormat="1" applyFont="1"/>
    <xf numFmtId="166" fontId="22" fillId="0" borderId="9" xfId="4" applyNumberFormat="1" applyFont="1"/>
    <xf numFmtId="4" fontId="24" fillId="0" borderId="9" xfId="4" applyNumberFormat="1" applyFont="1"/>
    <xf numFmtId="165" fontId="16" fillId="0" borderId="9" xfId="4" applyNumberFormat="1" applyFont="1"/>
    <xf numFmtId="166" fontId="16" fillId="0" borderId="9" xfId="4" applyNumberFormat="1" applyFont="1"/>
    <xf numFmtId="176" fontId="2" fillId="0" borderId="9" xfId="4" applyNumberFormat="1"/>
    <xf numFmtId="175" fontId="2" fillId="0" borderId="9" xfId="4" applyNumberFormat="1"/>
    <xf numFmtId="175" fontId="26" fillId="5" borderId="9" xfId="4" applyNumberFormat="1" applyFont="1" applyFill="1" applyAlignment="1">
      <alignment horizontal="right"/>
    </xf>
    <xf numFmtId="165" fontId="23" fillId="0" borderId="9" xfId="4" applyNumberFormat="1" applyFont="1"/>
    <xf numFmtId="3" fontId="2" fillId="0" borderId="9" xfId="4" applyNumberFormat="1"/>
    <xf numFmtId="172" fontId="23" fillId="0" borderId="9" xfId="4" applyNumberFormat="1" applyFont="1"/>
    <xf numFmtId="0" fontId="25" fillId="0" borderId="9" xfId="4" applyFont="1"/>
    <xf numFmtId="10" fontId="16" fillId="0" borderId="9" xfId="4" applyNumberFormat="1" applyFont="1"/>
    <xf numFmtId="165" fontId="25" fillId="5" borderId="9" xfId="4" applyNumberFormat="1" applyFont="1" applyFill="1"/>
    <xf numFmtId="175" fontId="27" fillId="5" borderId="9" xfId="4" applyNumberFormat="1" applyFont="1" applyFill="1"/>
    <xf numFmtId="175" fontId="25" fillId="5" borderId="9" xfId="4" applyNumberFormat="1" applyFont="1" applyFill="1"/>
    <xf numFmtId="10" fontId="2" fillId="0" borderId="9" xfId="4" applyNumberFormat="1"/>
    <xf numFmtId="176" fontId="9" fillId="5" borderId="9" xfId="4" applyNumberFormat="1" applyFont="1" applyFill="1" applyAlignment="1">
      <alignment horizontal="left"/>
    </xf>
    <xf numFmtId="0" fontId="23" fillId="0" borderId="9" xfId="4" applyFont="1"/>
    <xf numFmtId="175" fontId="29" fillId="5" borderId="9" xfId="4" applyNumberFormat="1" applyFont="1" applyFill="1"/>
    <xf numFmtId="165" fontId="27" fillId="5" borderId="9" xfId="4" applyNumberFormat="1" applyFont="1" applyFill="1"/>
    <xf numFmtId="0" fontId="25" fillId="5" borderId="9" xfId="4" applyFont="1" applyFill="1"/>
    <xf numFmtId="0" fontId="16" fillId="0" borderId="9" xfId="4" applyFont="1" applyAlignment="1">
      <alignment horizontal="center"/>
    </xf>
    <xf numFmtId="166" fontId="4" fillId="0" borderId="9" xfId="4" applyNumberFormat="1" applyFont="1"/>
    <xf numFmtId="169" fontId="17" fillId="4" borderId="9" xfId="4" applyNumberFormat="1" applyFont="1" applyFill="1" applyAlignment="1">
      <alignment vertical="center"/>
    </xf>
    <xf numFmtId="166" fontId="17" fillId="4" borderId="9" xfId="4" applyNumberFormat="1" applyFont="1" applyFill="1" applyAlignment="1">
      <alignment horizontal="center" vertical="center"/>
    </xf>
    <xf numFmtId="166" fontId="18" fillId="4" borderId="10" xfId="4" applyNumberFormat="1" applyFont="1" applyFill="1" applyBorder="1" applyAlignment="1">
      <alignment horizontal="center" vertical="center"/>
    </xf>
    <xf numFmtId="173" fontId="18" fillId="0" borderId="10" xfId="4" applyNumberFormat="1" applyFont="1" applyBorder="1" applyAlignment="1">
      <alignment vertical="center"/>
    </xf>
    <xf numFmtId="166" fontId="18" fillId="0" borderId="6" xfId="4" applyNumberFormat="1" applyFont="1" applyBorder="1" applyAlignment="1">
      <alignment vertical="center"/>
    </xf>
    <xf numFmtId="166" fontId="18" fillId="0" borderId="12" xfId="4" applyNumberFormat="1" applyFont="1" applyBorder="1" applyAlignment="1">
      <alignment vertical="center"/>
    </xf>
    <xf numFmtId="166" fontId="18" fillId="0" borderId="7" xfId="4" applyNumberFormat="1" applyFont="1" applyBorder="1" applyAlignment="1">
      <alignment vertical="center"/>
    </xf>
    <xf numFmtId="165" fontId="18" fillId="0" borderId="7" xfId="4" applyNumberFormat="1" applyFont="1" applyBorder="1" applyAlignment="1">
      <alignment vertical="center"/>
    </xf>
    <xf numFmtId="166" fontId="18" fillId="4" borderId="20" xfId="4" applyNumberFormat="1" applyFont="1" applyFill="1" applyBorder="1" applyAlignment="1">
      <alignment horizontal="center" vertical="center"/>
    </xf>
    <xf numFmtId="166" fontId="18" fillId="0" borderId="20" xfId="4" applyNumberFormat="1" applyFont="1" applyBorder="1" applyAlignment="1">
      <alignment vertical="center"/>
    </xf>
    <xf numFmtId="165" fontId="18" fillId="0" borderId="20" xfId="4" applyNumberFormat="1" applyFont="1" applyBorder="1" applyAlignment="1">
      <alignment vertical="center"/>
    </xf>
    <xf numFmtId="3" fontId="18" fillId="0" borderId="20" xfId="4" applyNumberFormat="1" applyFont="1" applyBorder="1" applyAlignment="1">
      <alignment vertical="center"/>
    </xf>
    <xf numFmtId="174" fontId="18" fillId="0" borderId="20" xfId="4" applyNumberFormat="1" applyFont="1" applyBorder="1" applyAlignment="1">
      <alignment vertical="center"/>
    </xf>
    <xf numFmtId="166" fontId="18" fillId="0" borderId="10" xfId="4" applyNumberFormat="1" applyFont="1" applyBorder="1" applyAlignment="1">
      <alignment vertical="center"/>
    </xf>
    <xf numFmtId="166" fontId="48" fillId="0" borderId="0" xfId="0" applyNumberFormat="1" applyFont="1"/>
    <xf numFmtId="172" fontId="1" fillId="0" borderId="9" xfId="4" applyNumberFormat="1" applyFont="1"/>
    <xf numFmtId="0" fontId="17" fillId="0" borderId="12" xfId="3" applyFont="1" applyBorder="1" applyAlignment="1">
      <alignment horizontal="center" vertical="center"/>
    </xf>
    <xf numFmtId="0" fontId="7" fillId="0" borderId="7" xfId="3" applyFont="1" applyBorder="1"/>
    <xf numFmtId="4" fontId="24" fillId="0" borderId="9" xfId="3" applyNumberFormat="1" applyFont="1" applyAlignment="1">
      <alignment horizontal="center"/>
    </xf>
    <xf numFmtId="0" fontId="47" fillId="0" borderId="12" xfId="3" applyFont="1" applyBorder="1" applyAlignment="1">
      <alignment horizontal="center" vertical="center"/>
    </xf>
    <xf numFmtId="0" fontId="47" fillId="0" borderId="7" xfId="3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7" fillId="0" borderId="7" xfId="4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8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169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0" fillId="0" borderId="0" xfId="0"/>
    <xf numFmtId="175" fontId="15" fillId="0" borderId="1" xfId="0" applyNumberFormat="1" applyFont="1" applyBorder="1" applyAlignment="1">
      <alignment horizontal="center" vertical="center"/>
    </xf>
    <xf numFmtId="175" fontId="15" fillId="0" borderId="5" xfId="0" applyNumberFormat="1" applyFont="1" applyBorder="1" applyAlignment="1">
      <alignment horizontal="center" vertical="center"/>
    </xf>
    <xf numFmtId="0" fontId="7" fillId="0" borderId="15" xfId="0" applyFont="1" applyBorder="1"/>
    <xf numFmtId="0" fontId="34" fillId="5" borderId="0" xfId="0" applyFont="1" applyFill="1" applyAlignment="1">
      <alignment horizontal="right" wrapText="1"/>
    </xf>
    <xf numFmtId="166" fontId="17" fillId="0" borderId="1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8" fillId="0" borderId="10" xfId="4" applyFont="1" applyBorder="1" applyAlignment="1">
      <alignment vertical="center"/>
    </xf>
    <xf numFmtId="165" fontId="18" fillId="0" borderId="10" xfId="4" applyNumberFormat="1" applyFont="1" applyBorder="1" applyAlignment="1">
      <alignment vertical="center"/>
    </xf>
    <xf numFmtId="165" fontId="18" fillId="0" borderId="6" xfId="4" applyNumberFormat="1" applyFont="1" applyBorder="1" applyAlignment="1">
      <alignment vertical="center"/>
    </xf>
    <xf numFmtId="0" fontId="47" fillId="0" borderId="21" xfId="3" applyFont="1" applyBorder="1" applyAlignment="1">
      <alignment horizontal="center" vertical="center"/>
    </xf>
    <xf numFmtId="4" fontId="4" fillId="0" borderId="20" xfId="4" applyNumberFormat="1" applyFont="1" applyBorder="1"/>
    <xf numFmtId="166" fontId="18" fillId="0" borderId="22" xfId="4" applyNumberFormat="1" applyFont="1" applyBorder="1" applyAlignment="1">
      <alignment vertical="center"/>
    </xf>
    <xf numFmtId="174" fontId="18" fillId="0" borderId="22" xfId="4" applyNumberFormat="1" applyFont="1" applyBorder="1" applyAlignment="1">
      <alignment vertical="center"/>
    </xf>
    <xf numFmtId="166" fontId="18" fillId="0" borderId="23" xfId="4" applyNumberFormat="1" applyFont="1" applyBorder="1" applyAlignment="1">
      <alignment vertical="center"/>
    </xf>
    <xf numFmtId="166" fontId="18" fillId="0" borderId="24" xfId="4" applyNumberFormat="1" applyFont="1" applyBorder="1" applyAlignment="1">
      <alignment vertical="center"/>
    </xf>
    <xf numFmtId="166" fontId="18" fillId="0" borderId="14" xfId="4" applyNumberFormat="1" applyFont="1" applyBorder="1" applyAlignment="1">
      <alignment vertical="center"/>
    </xf>
    <xf numFmtId="166" fontId="17" fillId="3" borderId="7" xfId="4" applyNumberFormat="1" applyFont="1" applyFill="1" applyBorder="1" applyAlignment="1">
      <alignment horizontal="center" vertical="center"/>
    </xf>
    <xf numFmtId="187" fontId="22" fillId="0" borderId="20" xfId="1" applyNumberFormat="1" applyFont="1" applyBorder="1" applyAlignment="1">
      <alignment horizontal="center" vertical="center"/>
    </xf>
    <xf numFmtId="189" fontId="18" fillId="0" borderId="24" xfId="5" applyNumberFormat="1" applyFont="1" applyBorder="1" applyAlignment="1">
      <alignment vertical="center"/>
    </xf>
    <xf numFmtId="186" fontId="22" fillId="0" borderId="0" xfId="1" applyNumberFormat="1" applyFont="1" applyAlignment="1">
      <alignment vertical="center"/>
    </xf>
  </cellXfs>
  <cellStyles count="6">
    <cellStyle name="Comma" xfId="1" builtinId="3"/>
    <cellStyle name="Currency" xfId="5" builtinId="4"/>
    <cellStyle name="Normal" xfId="0" builtinId="0"/>
    <cellStyle name="Normal 2" xfId="3" xr:uid="{CFC55D8D-8EA5-4583-91D4-19C4B1D23475}"/>
    <cellStyle name="Normal 3" xfId="4" xr:uid="{7DCBA267-3179-48BA-9012-A78181F44C0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8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9E7E-AE25-485F-9583-95A8977A7691}">
  <dimension ref="A1:U999"/>
  <sheetViews>
    <sheetView zoomScale="70" zoomScaleNormal="70" workbookViewId="0">
      <pane xSplit="2" topLeftCell="N1" activePane="topRight" state="frozen"/>
      <selection pane="topRight" activeCell="D1" sqref="D1:O1"/>
    </sheetView>
  </sheetViews>
  <sheetFormatPr defaultColWidth="14.453125" defaultRowHeight="15" customHeight="1"/>
  <cols>
    <col min="1" max="1" width="9.453125" style="289" customWidth="1"/>
    <col min="2" max="2" width="26.81640625" style="289" customWidth="1"/>
    <col min="3" max="3" width="21.7265625" style="289" customWidth="1"/>
    <col min="4" max="10" width="19.54296875" style="289" customWidth="1"/>
    <col min="11" max="16" width="20.7265625" style="289" customWidth="1"/>
    <col min="17" max="17" width="12.08984375" style="289" customWidth="1"/>
    <col min="18" max="18" width="8.7265625" style="289" customWidth="1"/>
    <col min="19" max="19" width="18" style="289" customWidth="1"/>
    <col min="20" max="20" width="19.7265625" style="289" customWidth="1"/>
    <col min="21" max="21" width="8.7265625" style="289" customWidth="1"/>
    <col min="22" max="16384" width="14.453125" style="289"/>
  </cols>
  <sheetData>
    <row r="1" spans="1:21" ht="27.5" customHeight="1">
      <c r="A1" s="285" t="s">
        <v>24</v>
      </c>
      <c r="B1" s="285" t="s">
        <v>25</v>
      </c>
      <c r="C1" s="286" t="s">
        <v>60</v>
      </c>
      <c r="D1" s="286" t="s">
        <v>8</v>
      </c>
      <c r="E1" s="286" t="s">
        <v>27</v>
      </c>
      <c r="F1" s="286" t="s">
        <v>10</v>
      </c>
      <c r="G1" s="286" t="s">
        <v>28</v>
      </c>
      <c r="H1" s="286" t="s">
        <v>29</v>
      </c>
      <c r="I1" s="286" t="s">
        <v>30</v>
      </c>
      <c r="J1" s="286" t="s">
        <v>31</v>
      </c>
      <c r="K1" s="286" t="s">
        <v>32</v>
      </c>
      <c r="L1" s="286" t="s">
        <v>33</v>
      </c>
      <c r="M1" s="286" t="s">
        <v>34</v>
      </c>
      <c r="N1" s="286" t="s">
        <v>111</v>
      </c>
      <c r="O1" s="286" t="s">
        <v>36</v>
      </c>
      <c r="P1" s="287"/>
      <c r="Q1" s="287"/>
      <c r="R1" s="288"/>
      <c r="S1" s="288"/>
    </row>
    <row r="2" spans="1:21" ht="24.75" customHeight="1">
      <c r="A2" s="290" t="s">
        <v>40</v>
      </c>
      <c r="B2" s="291" t="s">
        <v>41</v>
      </c>
      <c r="C2" s="292"/>
      <c r="D2" s="293"/>
      <c r="E2" s="294"/>
      <c r="F2" s="295"/>
      <c r="G2" s="296"/>
      <c r="H2" s="297"/>
      <c r="I2" s="297"/>
      <c r="J2" s="297"/>
      <c r="K2" s="297"/>
      <c r="L2" s="298"/>
      <c r="M2" s="298"/>
      <c r="N2" s="298"/>
      <c r="O2" s="298"/>
      <c r="P2" s="297"/>
      <c r="Q2" s="299"/>
      <c r="R2" s="288"/>
      <c r="S2" s="288"/>
    </row>
    <row r="3" spans="1:21" ht="24.75" customHeight="1">
      <c r="A3" s="300">
        <v>1</v>
      </c>
      <c r="B3" s="301" t="s">
        <v>4</v>
      </c>
      <c r="C3" s="302"/>
      <c r="D3" s="303">
        <f>1186864099+7305000</f>
        <v>1194169099</v>
      </c>
      <c r="E3" s="304">
        <f>1235138223+7555000</f>
        <v>1242693223</v>
      </c>
      <c r="F3" s="304">
        <f>1231666117+8055000</f>
        <v>1239721117</v>
      </c>
      <c r="G3" s="305">
        <f>1248388051+8055000</f>
        <v>1256443051</v>
      </c>
      <c r="H3" s="306">
        <f>1232686571+7805000</f>
        <v>1240491571</v>
      </c>
      <c r="I3" s="296">
        <f>1239222076+7405000</f>
        <v>1246627076</v>
      </c>
      <c r="J3" s="296">
        <f>1224060058+8037375</f>
        <v>1232097433</v>
      </c>
      <c r="K3" s="307">
        <f>1232881052+8037375</f>
        <v>1240918427</v>
      </c>
      <c r="L3" s="307">
        <f>1226599345+7937375</f>
        <v>1234536720</v>
      </c>
      <c r="M3" s="307">
        <f>1156000633+7862375</f>
        <v>1163863008</v>
      </c>
      <c r="N3" s="307">
        <f>1235807050+8012375</f>
        <v>1243819425</v>
      </c>
      <c r="O3" s="307">
        <f>1221212522+8137375</f>
        <v>1229349897</v>
      </c>
      <c r="P3" s="296">
        <f t="shared" ref="P3:P9" si="0">D3+E3+F3+G3+H3+I3+J3+K3+L3+M3+N3+O3</f>
        <v>14764730047</v>
      </c>
      <c r="Q3" s="308" t="e">
        <f>P3/C3</f>
        <v>#DIV/0!</v>
      </c>
      <c r="R3" s="288"/>
      <c r="S3" s="309"/>
      <c r="T3" s="310"/>
    </row>
    <row r="4" spans="1:21" ht="24.75" customHeight="1">
      <c r="A4" s="300">
        <v>2</v>
      </c>
      <c r="B4" s="311" t="s">
        <v>42</v>
      </c>
      <c r="C4" s="312"/>
      <c r="D4" s="313"/>
      <c r="E4" s="304"/>
      <c r="F4" s="304"/>
      <c r="G4" s="374">
        <f>496254002</f>
        <v>496254002</v>
      </c>
      <c r="H4" s="296"/>
      <c r="I4" s="296"/>
      <c r="J4" s="296"/>
      <c r="K4" s="296"/>
      <c r="L4" s="296"/>
      <c r="M4" s="296"/>
      <c r="N4" s="307"/>
      <c r="O4" s="296"/>
      <c r="P4" s="296">
        <f t="shared" si="0"/>
        <v>496254002</v>
      </c>
      <c r="Q4" s="308" t="e">
        <f>P4/C4</f>
        <v>#DIV/0!</v>
      </c>
      <c r="R4" s="288"/>
      <c r="S4" s="309"/>
    </row>
    <row r="5" spans="1:21" ht="24.75" customHeight="1">
      <c r="A5" s="300">
        <v>3</v>
      </c>
      <c r="B5" s="311" t="s">
        <v>43</v>
      </c>
      <c r="C5" s="311"/>
      <c r="D5" s="313">
        <v>300000</v>
      </c>
      <c r="E5" s="304">
        <v>9485000</v>
      </c>
      <c r="F5" s="304">
        <f>505000</f>
        <v>505000</v>
      </c>
      <c r="G5" s="296">
        <f>1331195145-1248388051+105313000</f>
        <v>188120094</v>
      </c>
      <c r="H5" s="296">
        <f>22066000</f>
        <v>22066000</v>
      </c>
      <c r="I5" s="314">
        <f>1255888743-1239222076+2917000</f>
        <v>19583667</v>
      </c>
      <c r="J5" s="314">
        <f>1300000</f>
        <v>1300000</v>
      </c>
      <c r="K5" s="307">
        <v>1240000</v>
      </c>
      <c r="L5" s="307"/>
      <c r="M5" s="307"/>
      <c r="N5" s="307"/>
      <c r="O5" s="307"/>
      <c r="P5" s="296">
        <f t="shared" si="0"/>
        <v>242599761</v>
      </c>
      <c r="Q5" s="308" t="e">
        <f>P5/C5</f>
        <v>#DIV/0!</v>
      </c>
      <c r="R5" s="288"/>
      <c r="S5" s="309"/>
    </row>
    <row r="6" spans="1:21" ht="24.75" customHeight="1">
      <c r="A6" s="300">
        <v>4</v>
      </c>
      <c r="B6" s="311" t="s">
        <v>44</v>
      </c>
      <c r="C6" s="312"/>
      <c r="D6" s="313"/>
      <c r="E6" s="304"/>
      <c r="F6" s="304"/>
      <c r="G6" s="296"/>
      <c r="H6" s="315"/>
      <c r="I6" s="296"/>
      <c r="J6" s="296"/>
      <c r="K6" s="296"/>
      <c r="M6" s="296"/>
      <c r="N6" s="296"/>
      <c r="O6" s="296"/>
      <c r="P6" s="296">
        <f t="shared" si="0"/>
        <v>0</v>
      </c>
      <c r="Q6" s="308"/>
      <c r="R6" s="288"/>
      <c r="S6" s="309"/>
    </row>
    <row r="7" spans="1:21" ht="24.75" customHeight="1">
      <c r="A7" s="300">
        <v>5</v>
      </c>
      <c r="B7" s="311" t="s">
        <v>45</v>
      </c>
      <c r="C7" s="312"/>
      <c r="D7" s="313"/>
      <c r="E7" s="304"/>
      <c r="F7" s="304"/>
      <c r="G7" s="296"/>
      <c r="H7" s="315"/>
      <c r="I7" s="296"/>
      <c r="J7" s="296"/>
      <c r="K7" s="296"/>
      <c r="L7" s="296"/>
      <c r="M7" s="296"/>
      <c r="N7" s="296"/>
      <c r="O7" s="296"/>
      <c r="P7" s="296">
        <f t="shared" si="0"/>
        <v>0</v>
      </c>
      <c r="Q7" s="308" t="e">
        <f>P7/C7</f>
        <v>#DIV/0!</v>
      </c>
      <c r="R7" s="288"/>
      <c r="S7" s="309"/>
    </row>
    <row r="8" spans="1:21" ht="24.75" customHeight="1">
      <c r="A8" s="300">
        <v>6</v>
      </c>
      <c r="B8" s="311" t="s">
        <v>46</v>
      </c>
      <c r="C8" s="312"/>
      <c r="D8" s="313"/>
      <c r="E8" s="304"/>
      <c r="F8" s="304"/>
      <c r="G8" s="296">
        <v>218440000</v>
      </c>
      <c r="H8" s="296"/>
      <c r="I8" s="296"/>
      <c r="J8" s="296"/>
      <c r="K8" s="296"/>
      <c r="L8" s="296"/>
      <c r="M8" s="296"/>
      <c r="N8" s="296"/>
      <c r="O8" s="296"/>
      <c r="P8" s="296">
        <f t="shared" si="0"/>
        <v>218440000</v>
      </c>
      <c r="Q8" s="308" t="e">
        <f>P8/C8</f>
        <v>#DIV/0!</v>
      </c>
      <c r="R8" s="288"/>
      <c r="S8" s="309" t="e">
        <f>#REF!+P8</f>
        <v>#REF!</v>
      </c>
    </row>
    <row r="9" spans="1:21" ht="24.75" customHeight="1">
      <c r="A9" s="300">
        <v>7</v>
      </c>
      <c r="B9" s="311" t="s">
        <v>47</v>
      </c>
      <c r="C9" s="312"/>
      <c r="D9" s="313"/>
      <c r="E9" s="304"/>
      <c r="F9" s="304"/>
      <c r="G9" s="296"/>
      <c r="H9" s="296"/>
      <c r="I9" s="296"/>
      <c r="J9" s="296"/>
      <c r="K9" s="307"/>
      <c r="L9" s="307"/>
      <c r="M9" s="316"/>
      <c r="N9" s="307"/>
      <c r="O9" s="307"/>
      <c r="P9" s="296">
        <f t="shared" si="0"/>
        <v>0</v>
      </c>
      <c r="Q9" s="308" t="e">
        <f>P9/C9</f>
        <v>#DIV/0!</v>
      </c>
      <c r="R9" s="288"/>
      <c r="S9" s="309"/>
    </row>
    <row r="10" spans="1:21" ht="24.75" customHeight="1">
      <c r="A10" s="317"/>
      <c r="B10" s="318" t="s">
        <v>48</v>
      </c>
      <c r="C10" s="319">
        <f>SUM(C3:C9)</f>
        <v>0</v>
      </c>
      <c r="D10" s="319">
        <f t="shared" ref="D10:O10" si="1">SUM(D3:D9)</f>
        <v>1194469099</v>
      </c>
      <c r="E10" s="319">
        <f t="shared" si="1"/>
        <v>1252178223</v>
      </c>
      <c r="F10" s="319">
        <f t="shared" si="1"/>
        <v>1240226117</v>
      </c>
      <c r="G10" s="319">
        <f t="shared" si="1"/>
        <v>2159257147</v>
      </c>
      <c r="H10" s="319">
        <f t="shared" si="1"/>
        <v>1262557571</v>
      </c>
      <c r="I10" s="319">
        <f t="shared" si="1"/>
        <v>1266210743</v>
      </c>
      <c r="J10" s="319">
        <f t="shared" si="1"/>
        <v>1233397433</v>
      </c>
      <c r="K10" s="319">
        <f t="shared" si="1"/>
        <v>1242158427</v>
      </c>
      <c r="L10" s="319">
        <f t="shared" si="1"/>
        <v>1234536720</v>
      </c>
      <c r="M10" s="319">
        <f t="shared" si="1"/>
        <v>1163863008</v>
      </c>
      <c r="N10" s="319">
        <f t="shared" si="1"/>
        <v>1243819425</v>
      </c>
      <c r="O10" s="319">
        <f t="shared" si="1"/>
        <v>1229349897</v>
      </c>
      <c r="P10" s="319">
        <f>SUM(P3:P9)</f>
        <v>15722023810</v>
      </c>
      <c r="Q10" s="320" t="e">
        <f>P10/C10</f>
        <v>#DIV/0!</v>
      </c>
      <c r="R10" s="288"/>
      <c r="S10" s="309"/>
    </row>
    <row r="11" spans="1:21" ht="24.75" customHeight="1">
      <c r="A11" s="317"/>
      <c r="B11" s="318"/>
      <c r="C11" s="318"/>
      <c r="D11" s="321"/>
      <c r="E11" s="321"/>
      <c r="F11" s="321"/>
      <c r="G11" s="322"/>
      <c r="H11" s="321"/>
      <c r="I11" s="321"/>
      <c r="J11" s="321"/>
      <c r="K11" s="321"/>
      <c r="L11" s="321"/>
      <c r="M11" s="321"/>
      <c r="N11" s="321"/>
      <c r="O11" s="323"/>
      <c r="P11" s="321"/>
      <c r="Q11" s="324"/>
      <c r="R11" s="288"/>
      <c r="S11" s="309"/>
    </row>
    <row r="12" spans="1:21" ht="24.75" customHeight="1">
      <c r="A12" s="290" t="s">
        <v>49</v>
      </c>
      <c r="B12" s="291" t="s">
        <v>50</v>
      </c>
      <c r="C12" s="292"/>
      <c r="D12" s="325"/>
      <c r="E12" s="321"/>
      <c r="F12" s="304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326"/>
      <c r="R12" s="288"/>
      <c r="S12" s="309"/>
    </row>
    <row r="13" spans="1:21" ht="24.75" customHeight="1">
      <c r="A13" s="300">
        <v>1</v>
      </c>
      <c r="B13" s="311" t="s">
        <v>43</v>
      </c>
      <c r="C13" s="311"/>
      <c r="D13" s="313">
        <f>60511111-7305000-45000</f>
        <v>53161111</v>
      </c>
      <c r="E13" s="304">
        <f>(164315777-7555000-120000)+15785000</f>
        <v>172425777</v>
      </c>
      <c r="F13" s="304">
        <f>(285494776-8055000-1366333-17050000)+1670000+(70637000-69477000)</f>
        <v>261853443</v>
      </c>
      <c r="G13" s="304">
        <f>(1476821582-504309002-21898136-60000000)+(950205745-299953412)</f>
        <v>1540866777</v>
      </c>
      <c r="H13" s="304">
        <f>(417815634-7805000-1416303-12233333)+(1004060811-200796000)+14425000</f>
        <v>1214050809</v>
      </c>
      <c r="I13" s="296">
        <f>(329070777-7405000-180062222)+(60720332-25285000)</f>
        <v>177038887</v>
      </c>
      <c r="J13" s="296">
        <f>(279785954-8037375-45828000-7540000)+11150556</f>
        <v>229531135</v>
      </c>
      <c r="K13" s="307">
        <f>(451160142-8037375-230642100)+(26667667-22271000)</f>
        <v>216877334</v>
      </c>
      <c r="L13" s="307">
        <f>(329084719-184025012-7937375)+1958333+(11577500-5017500)</f>
        <v>145640665</v>
      </c>
      <c r="M13" s="307">
        <f>(144895264-7862375-17115778)+5160000+1410000</f>
        <v>126487111</v>
      </c>
      <c r="N13" s="307">
        <f>(138195989-4895002-8012375)+980000</f>
        <v>126268612</v>
      </c>
      <c r="O13" s="307">
        <f>(649266042-8137375-84802000-159386889)</f>
        <v>396939778</v>
      </c>
      <c r="P13" s="296">
        <f>D13+E13+F13+G13+H13+I13+J13+K13+L13+M13+N13+O13</f>
        <v>4661141439</v>
      </c>
      <c r="Q13" s="308" t="e">
        <f t="shared" ref="Q13:Q19" si="2">P13/C13</f>
        <v>#DIV/0!</v>
      </c>
      <c r="R13" s="288"/>
      <c r="S13" s="309"/>
      <c r="T13" s="327"/>
      <c r="U13" s="328"/>
    </row>
    <row r="14" spans="1:21" ht="24.75" customHeight="1">
      <c r="A14" s="300">
        <v>2</v>
      </c>
      <c r="B14" s="311" t="s">
        <v>51</v>
      </c>
      <c r="C14" s="312"/>
      <c r="D14" s="313">
        <f>13850000+45000</f>
        <v>13895000</v>
      </c>
      <c r="E14" s="304">
        <f>120000+73515000+32229500</f>
        <v>105864500</v>
      </c>
      <c r="F14" s="329">
        <f>69477000+169396000+17050000+1366333</f>
        <v>257289333</v>
      </c>
      <c r="G14" s="296">
        <f>194630000+60000000+21898136+299953412</f>
        <v>576481548</v>
      </c>
      <c r="H14" s="296">
        <f>97840000+1416303+12233333+200796000</f>
        <v>312285636</v>
      </c>
      <c r="I14" s="296">
        <f>153605000+180062222+25285000</f>
        <v>358952222</v>
      </c>
      <c r="J14" s="296">
        <f>120070000+7540000+45828000</f>
        <v>173438000</v>
      </c>
      <c r="K14" s="296">
        <f>91275000+230642100+22271000</f>
        <v>344188100</v>
      </c>
      <c r="L14" s="330">
        <f>111105000+184025012+5017500</f>
        <v>300147512</v>
      </c>
      <c r="M14" s="331">
        <f>52575000+17115778</f>
        <v>69690778</v>
      </c>
      <c r="N14" s="330">
        <f>25000000+40000000+34180000+4895002</f>
        <v>104075002</v>
      </c>
      <c r="O14" s="330">
        <f>52100000+84802000+159386889</f>
        <v>296288889</v>
      </c>
      <c r="P14" s="296">
        <f>D14+E14+F14+G14+H14+I14+J14+K14+L14+M14+N14+O14</f>
        <v>2912596520</v>
      </c>
      <c r="Q14" s="308" t="e">
        <f t="shared" si="2"/>
        <v>#DIV/0!</v>
      </c>
      <c r="R14" s="288"/>
      <c r="S14" s="309"/>
      <c r="T14" s="328"/>
      <c r="U14" s="332"/>
    </row>
    <row r="15" spans="1:21" ht="24.75" customHeight="1">
      <c r="A15" s="300">
        <v>3</v>
      </c>
      <c r="B15" s="311" t="s">
        <v>52</v>
      </c>
      <c r="C15" s="312"/>
      <c r="D15" s="313"/>
      <c r="E15" s="304"/>
      <c r="F15" s="304"/>
      <c r="G15" s="296"/>
      <c r="H15" s="296"/>
      <c r="I15" s="296"/>
      <c r="J15" s="296"/>
      <c r="K15" s="296"/>
      <c r="L15" s="296"/>
      <c r="M15" s="296"/>
      <c r="N15" s="296"/>
      <c r="O15" s="307"/>
      <c r="P15" s="296">
        <f>D15+E15+F15+G15+H15+I15+J15+K15+L15+M15+N15+O15</f>
        <v>0</v>
      </c>
      <c r="Q15" s="308" t="e">
        <f t="shared" si="2"/>
        <v>#DIV/0!</v>
      </c>
      <c r="R15" s="288"/>
      <c r="S15" s="309"/>
      <c r="T15" s="333"/>
      <c r="U15" s="334"/>
    </row>
    <row r="16" spans="1:21" ht="24.75" customHeight="1">
      <c r="A16" s="300">
        <v>4</v>
      </c>
      <c r="B16" s="311" t="s">
        <v>53</v>
      </c>
      <c r="C16" s="304"/>
      <c r="D16" s="313"/>
      <c r="E16" s="304"/>
      <c r="F16" s="304"/>
      <c r="G16" s="296"/>
      <c r="H16" s="296"/>
      <c r="I16" s="296"/>
      <c r="J16" s="296"/>
      <c r="K16" s="335"/>
      <c r="L16" s="307"/>
      <c r="M16" s="316"/>
      <c r="N16" s="307"/>
      <c r="O16" s="307"/>
      <c r="P16" s="296">
        <f>D16+E16+F16+G16+H16+I16+J16+K16+L16+M16+N16+O16</f>
        <v>0</v>
      </c>
      <c r="Q16" s="308" t="e">
        <f t="shared" si="2"/>
        <v>#DIV/0!</v>
      </c>
      <c r="R16" s="288"/>
      <c r="S16" s="309"/>
      <c r="T16" s="333"/>
      <c r="U16" s="336"/>
    </row>
    <row r="17" spans="1:21" ht="24.75" customHeight="1">
      <c r="A17" s="300">
        <v>5</v>
      </c>
      <c r="B17" s="311" t="s">
        <v>54</v>
      </c>
      <c r="C17" s="312"/>
      <c r="D17" s="313"/>
      <c r="E17" s="321"/>
      <c r="F17" s="304"/>
      <c r="G17" s="296"/>
      <c r="H17" s="296"/>
      <c r="I17" s="296">
        <f>15060000</f>
        <v>15060000</v>
      </c>
      <c r="J17" s="296"/>
      <c r="K17" s="296"/>
      <c r="L17" s="296"/>
      <c r="M17" s="296"/>
      <c r="N17" s="296"/>
      <c r="O17" s="307"/>
      <c r="P17" s="296">
        <f>D17+E17+F17+G17+H17+I17+J17+K17+L17+M17+N17+O17</f>
        <v>15060000</v>
      </c>
      <c r="Q17" s="308" t="e">
        <f t="shared" si="2"/>
        <v>#DIV/0!</v>
      </c>
      <c r="R17" s="288"/>
      <c r="S17" s="309"/>
      <c r="T17" s="333"/>
      <c r="U17" s="337"/>
    </row>
    <row r="18" spans="1:21" ht="24.75" customHeight="1">
      <c r="A18" s="317"/>
      <c r="B18" s="292" t="s">
        <v>55</v>
      </c>
      <c r="C18" s="319">
        <f t="shared" ref="C18:P18" si="3">SUM(C13:C17)</f>
        <v>0</v>
      </c>
      <c r="D18" s="319">
        <f t="shared" si="3"/>
        <v>67056111</v>
      </c>
      <c r="E18" s="319">
        <f t="shared" si="3"/>
        <v>278290277</v>
      </c>
      <c r="F18" s="319">
        <f t="shared" si="3"/>
        <v>519142776</v>
      </c>
      <c r="G18" s="319">
        <f t="shared" si="3"/>
        <v>2117348325</v>
      </c>
      <c r="H18" s="319">
        <f t="shared" si="3"/>
        <v>1526336445</v>
      </c>
      <c r="I18" s="319">
        <f t="shared" si="3"/>
        <v>551051109</v>
      </c>
      <c r="J18" s="319">
        <f t="shared" si="3"/>
        <v>402969135</v>
      </c>
      <c r="K18" s="319">
        <f t="shared" si="3"/>
        <v>561065434</v>
      </c>
      <c r="L18" s="319">
        <f t="shared" si="3"/>
        <v>445788177</v>
      </c>
      <c r="M18" s="319">
        <f t="shared" si="3"/>
        <v>196177889</v>
      </c>
      <c r="N18" s="319">
        <f t="shared" si="3"/>
        <v>230343614</v>
      </c>
      <c r="O18" s="319">
        <f t="shared" si="3"/>
        <v>693228667</v>
      </c>
      <c r="P18" s="319">
        <f t="shared" si="3"/>
        <v>7588797959</v>
      </c>
      <c r="Q18" s="320" t="e">
        <f t="shared" si="2"/>
        <v>#DIV/0!</v>
      </c>
      <c r="R18" s="288"/>
      <c r="S18" s="309"/>
      <c r="T18" s="333"/>
      <c r="U18" s="337"/>
    </row>
    <row r="19" spans="1:21" ht="24.75" customHeight="1">
      <c r="A19" s="317"/>
      <c r="B19" s="292" t="s">
        <v>56</v>
      </c>
      <c r="C19" s="319">
        <f t="shared" ref="C19:P19" si="4">C18+C10</f>
        <v>0</v>
      </c>
      <c r="D19" s="319">
        <f>D18+D10</f>
        <v>1261525210</v>
      </c>
      <c r="E19" s="319">
        <f t="shared" si="4"/>
        <v>1530468500</v>
      </c>
      <c r="F19" s="319">
        <f t="shared" si="4"/>
        <v>1759368893</v>
      </c>
      <c r="G19" s="319">
        <f t="shared" si="4"/>
        <v>4276605472</v>
      </c>
      <c r="H19" s="319">
        <f t="shared" si="4"/>
        <v>2788894016</v>
      </c>
      <c r="I19" s="319">
        <f t="shared" si="4"/>
        <v>1817261852</v>
      </c>
      <c r="J19" s="319">
        <f t="shared" si="4"/>
        <v>1636366568</v>
      </c>
      <c r="K19" s="319">
        <f t="shared" si="4"/>
        <v>1803223861</v>
      </c>
      <c r="L19" s="319">
        <f t="shared" si="4"/>
        <v>1680324897</v>
      </c>
      <c r="M19" s="319">
        <f t="shared" si="4"/>
        <v>1360040897</v>
      </c>
      <c r="N19" s="319">
        <f t="shared" si="4"/>
        <v>1474163039</v>
      </c>
      <c r="O19" s="319">
        <f t="shared" si="4"/>
        <v>1922578564</v>
      </c>
      <c r="P19" s="319">
        <f t="shared" si="4"/>
        <v>23310821769</v>
      </c>
      <c r="Q19" s="320" t="e">
        <f t="shared" si="2"/>
        <v>#DIV/0!</v>
      </c>
      <c r="R19" s="288"/>
      <c r="S19" s="309"/>
      <c r="T19" s="333"/>
      <c r="U19" s="338"/>
    </row>
    <row r="20" spans="1:21" ht="15.75" customHeight="1">
      <c r="A20" s="339"/>
      <c r="B20" s="340"/>
      <c r="C20" s="341"/>
      <c r="D20" s="342"/>
      <c r="E20" s="342"/>
      <c r="F20" s="342"/>
      <c r="G20" s="341"/>
      <c r="H20" s="343"/>
      <c r="I20" s="343"/>
      <c r="J20" s="343"/>
      <c r="L20" s="340"/>
      <c r="M20" s="340"/>
      <c r="N20" s="340"/>
      <c r="O20" s="340"/>
      <c r="P20" s="344"/>
      <c r="Q20" s="340"/>
      <c r="R20" s="288"/>
      <c r="S20" s="309"/>
      <c r="T20" s="345"/>
      <c r="U20" s="338"/>
    </row>
    <row r="21" spans="1:21" ht="15.75" customHeight="1">
      <c r="A21" s="346"/>
      <c r="B21" s="346"/>
      <c r="C21" s="346"/>
      <c r="D21" s="347"/>
      <c r="E21" s="347"/>
      <c r="F21" s="347"/>
      <c r="G21" s="347"/>
      <c r="H21" s="347"/>
      <c r="I21" s="347"/>
      <c r="J21" s="347"/>
      <c r="K21" s="347"/>
      <c r="L21" s="347"/>
      <c r="M21" s="348"/>
      <c r="N21" s="349"/>
      <c r="O21" s="350"/>
      <c r="P21" s="333"/>
      <c r="Q21" s="346"/>
      <c r="R21" s="333"/>
      <c r="S21" s="309"/>
      <c r="T21" s="338"/>
      <c r="U21" s="338"/>
    </row>
    <row r="22" spans="1:21" ht="15.75" customHeight="1">
      <c r="A22" s="346"/>
      <c r="B22" s="346"/>
      <c r="C22" s="346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51"/>
      <c r="P22" s="333"/>
      <c r="Q22" s="333"/>
      <c r="S22" s="309"/>
      <c r="T22" s="338"/>
      <c r="U22" s="338"/>
    </row>
    <row r="23" spans="1:21" ht="15.75" customHeight="1">
      <c r="A23" s="346"/>
      <c r="B23" s="346"/>
      <c r="C23" s="346" t="s">
        <v>112</v>
      </c>
      <c r="E23" s="333"/>
      <c r="F23" s="333"/>
      <c r="G23" s="333"/>
      <c r="H23" s="343"/>
      <c r="I23" s="352"/>
      <c r="J23" s="352"/>
      <c r="K23" s="352"/>
      <c r="L23" s="353"/>
      <c r="M23" s="353"/>
      <c r="N23" s="354"/>
      <c r="O23" s="353"/>
      <c r="P23" s="343"/>
      <c r="Q23" s="346"/>
      <c r="S23" s="309"/>
      <c r="T23" s="338"/>
      <c r="U23" s="338"/>
    </row>
    <row r="24" spans="1:21" ht="15.75" customHeight="1">
      <c r="A24" s="346"/>
      <c r="B24" s="346" t="s">
        <v>64</v>
      </c>
      <c r="C24" s="355" t="s">
        <v>113</v>
      </c>
      <c r="D24" s="347"/>
      <c r="E24" s="347"/>
      <c r="F24" s="356"/>
      <c r="G24" s="333"/>
      <c r="H24" s="347"/>
      <c r="I24" s="347"/>
      <c r="J24" s="347"/>
      <c r="K24" s="344"/>
      <c r="M24" s="357"/>
      <c r="N24" s="353"/>
      <c r="O24" s="353"/>
      <c r="P24" s="358"/>
      <c r="Q24" s="346"/>
      <c r="T24" s="338"/>
      <c r="U24" s="338"/>
    </row>
    <row r="25" spans="1:21" ht="15.75" customHeight="1">
      <c r="A25" s="346"/>
      <c r="B25" s="346" t="s">
        <v>65</v>
      </c>
      <c r="C25" s="359"/>
      <c r="D25" s="360"/>
      <c r="E25" s="346"/>
      <c r="F25" s="350"/>
      <c r="G25" s="352"/>
      <c r="H25" s="346"/>
      <c r="I25" s="346"/>
      <c r="J25" s="346"/>
      <c r="K25" s="361"/>
      <c r="L25" s="362"/>
      <c r="M25" s="363"/>
      <c r="N25" s="352"/>
      <c r="O25" s="363"/>
      <c r="P25" s="346"/>
      <c r="Q25" s="346"/>
    </row>
    <row r="26" spans="1:21" ht="15.75" customHeight="1">
      <c r="A26" s="346"/>
      <c r="B26" s="346" t="s">
        <v>66</v>
      </c>
      <c r="C26" s="359"/>
      <c r="D26" s="364"/>
      <c r="E26" s="360"/>
      <c r="F26" s="350"/>
      <c r="G26" s="365"/>
      <c r="H26" s="366"/>
      <c r="I26" s="358"/>
      <c r="J26" s="358"/>
      <c r="K26" s="361"/>
      <c r="L26" s="344"/>
      <c r="M26" s="363"/>
      <c r="N26" s="367"/>
      <c r="O26" s="353"/>
      <c r="P26" s="347"/>
      <c r="Q26" s="366"/>
      <c r="R26" s="338"/>
      <c r="S26" s="338"/>
      <c r="T26" s="338"/>
    </row>
    <row r="27" spans="1:21" ht="15.75" customHeight="1">
      <c r="A27" s="346"/>
      <c r="B27" s="346" t="s">
        <v>67</v>
      </c>
      <c r="C27" s="359"/>
      <c r="D27" s="364"/>
      <c r="E27" s="360"/>
      <c r="F27" s="350"/>
      <c r="G27" s="365"/>
      <c r="H27" s="366"/>
      <c r="I27" s="366"/>
      <c r="J27" s="343"/>
      <c r="K27" s="361"/>
      <c r="L27" s="368"/>
      <c r="M27" s="363"/>
      <c r="N27" s="353"/>
      <c r="O27" s="353"/>
      <c r="P27" s="366"/>
      <c r="Q27" s="366"/>
      <c r="R27" s="338"/>
      <c r="S27" s="338"/>
      <c r="T27" s="338"/>
    </row>
    <row r="28" spans="1:21" ht="15.75" customHeight="1">
      <c r="A28" s="346"/>
      <c r="B28" s="346" t="s">
        <v>68</v>
      </c>
      <c r="C28" s="346"/>
      <c r="E28" s="360"/>
      <c r="F28" s="350"/>
      <c r="G28" s="365"/>
      <c r="H28" s="366"/>
      <c r="I28" s="347"/>
      <c r="J28" s="369"/>
      <c r="K28" s="361"/>
      <c r="L28" s="344"/>
      <c r="M28" s="363"/>
      <c r="N28" s="361"/>
      <c r="O28" s="363"/>
      <c r="P28" s="366"/>
      <c r="Q28" s="366"/>
      <c r="R28" s="338"/>
      <c r="S28" s="338"/>
      <c r="T28" s="338"/>
    </row>
    <row r="29" spans="1:21" ht="15.75" customHeight="1">
      <c r="A29" s="346"/>
      <c r="B29" s="346" t="s">
        <v>114</v>
      </c>
      <c r="C29" s="346"/>
      <c r="D29" s="364"/>
      <c r="E29" s="360"/>
      <c r="F29" s="350"/>
      <c r="G29" s="365"/>
      <c r="H29" s="346"/>
      <c r="I29" s="346"/>
      <c r="J29" s="369"/>
      <c r="K29" s="361"/>
      <c r="L29" s="350"/>
      <c r="M29" s="369"/>
      <c r="N29" s="369"/>
      <c r="O29" s="369"/>
      <c r="P29" s="346"/>
      <c r="Q29" s="346"/>
    </row>
    <row r="30" spans="1:21" ht="15.75" customHeight="1">
      <c r="A30" s="346"/>
      <c r="B30" s="346"/>
      <c r="C30" s="346"/>
      <c r="D30" s="364"/>
      <c r="E30" s="360"/>
      <c r="F30" s="350"/>
      <c r="G30" s="365"/>
      <c r="H30" s="346"/>
      <c r="I30" s="346"/>
      <c r="J30" s="369"/>
      <c r="K30" s="346"/>
      <c r="M30" s="346"/>
      <c r="O30" s="346"/>
      <c r="P30" s="346"/>
      <c r="Q30" s="346"/>
    </row>
    <row r="31" spans="1:21" ht="15.75" customHeight="1">
      <c r="A31" s="346"/>
      <c r="B31" s="370"/>
      <c r="C31" s="346"/>
      <c r="D31" s="364"/>
      <c r="E31" s="360"/>
      <c r="G31" s="346"/>
      <c r="H31" s="346"/>
      <c r="I31" s="346"/>
      <c r="J31" s="369"/>
      <c r="K31" s="346"/>
      <c r="L31" s="350"/>
      <c r="M31" s="351"/>
      <c r="N31" s="346"/>
      <c r="O31" s="346"/>
      <c r="P31" s="346"/>
      <c r="Q31" s="346"/>
    </row>
    <row r="32" spans="1:21" ht="15.75" customHeight="1">
      <c r="D32" s="364"/>
      <c r="I32" s="371"/>
      <c r="J32" s="369"/>
      <c r="L32" s="344"/>
    </row>
    <row r="33" spans="6:12" ht="15.75" customHeight="1">
      <c r="L33" s="344"/>
    </row>
    <row r="34" spans="6:12" ht="15.75" customHeight="1">
      <c r="L34" s="344"/>
    </row>
    <row r="35" spans="6:12" ht="15.75" customHeight="1"/>
    <row r="36" spans="6:12" ht="15.75" customHeight="1"/>
    <row r="37" spans="6:12" ht="15.75" customHeight="1"/>
    <row r="38" spans="6:12" ht="15.75" customHeight="1"/>
    <row r="39" spans="6:12" ht="15.75" customHeight="1"/>
    <row r="40" spans="6:12" ht="15.75" customHeight="1"/>
    <row r="41" spans="6:12" ht="15.75" customHeight="1">
      <c r="F41" s="327"/>
      <c r="G41" s="328"/>
    </row>
    <row r="42" spans="6:12" ht="15.75" customHeight="1">
      <c r="F42" s="327"/>
      <c r="G42" s="328"/>
    </row>
    <row r="43" spans="6:12" ht="15.75" customHeight="1">
      <c r="F43" s="327"/>
      <c r="G43" s="328"/>
    </row>
    <row r="44" spans="6:12" ht="15.75" customHeight="1">
      <c r="F44" s="327"/>
      <c r="G44" s="328"/>
    </row>
    <row r="45" spans="6:12" ht="15.75" customHeight="1">
      <c r="F45" s="327"/>
      <c r="G45" s="328"/>
    </row>
    <row r="46" spans="6:12" ht="15.75" customHeight="1">
      <c r="F46" s="327"/>
      <c r="G46" s="328"/>
    </row>
    <row r="47" spans="6:12" ht="15.75" customHeight="1">
      <c r="F47" s="372"/>
      <c r="G47" s="373"/>
    </row>
    <row r="48" spans="6:12" ht="15.75" customHeight="1">
      <c r="F48" s="372"/>
      <c r="G48" s="373"/>
    </row>
    <row r="49" spans="6:7" ht="15.75" customHeight="1">
      <c r="F49" s="372"/>
      <c r="G49" s="328"/>
    </row>
    <row r="50" spans="6:7" ht="15.75" customHeight="1">
      <c r="F50" s="327"/>
      <c r="G50" s="332"/>
    </row>
    <row r="51" spans="6:7" ht="15.75" customHeight="1">
      <c r="F51" s="327"/>
      <c r="G51" s="328"/>
    </row>
    <row r="52" spans="6:7" ht="15.75" customHeight="1">
      <c r="F52" s="327"/>
      <c r="G52" s="328"/>
    </row>
    <row r="53" spans="6:7" ht="15.75" customHeight="1">
      <c r="F53" s="327"/>
      <c r="G53" s="328"/>
    </row>
    <row r="54" spans="6:7" ht="15.75" customHeight="1"/>
    <row r="55" spans="6:7" ht="15.75" customHeight="1"/>
    <row r="56" spans="6:7" ht="15.75" customHeight="1"/>
    <row r="57" spans="6:7" ht="15.75" customHeight="1"/>
    <row r="58" spans="6:7" ht="15.75" customHeight="1"/>
    <row r="59" spans="6:7" ht="15.75" customHeight="1"/>
    <row r="60" spans="6:7" ht="15.75" customHeight="1"/>
    <row r="61" spans="6:7" ht="15.75" customHeight="1"/>
    <row r="62" spans="6:7" ht="15.75" customHeight="1"/>
    <row r="63" spans="6:7" ht="15.75" customHeight="1"/>
    <row r="64" spans="6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25650916104146582" right="0.47251687560270011" top="1" bottom="1" header="0" footer="0"/>
  <pageSetup paperSize="5" scale="3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0"/>
  <sheetViews>
    <sheetView zoomScale="70" workbookViewId="0">
      <pane xSplit="2" topLeftCell="C1" activePane="topRight" state="frozen"/>
      <selection pane="topRight" activeCell="C21" sqref="C21"/>
    </sheetView>
  </sheetViews>
  <sheetFormatPr defaultColWidth="14.453125" defaultRowHeight="15" customHeight="1"/>
  <cols>
    <col min="1" max="1" width="9.453125" customWidth="1"/>
    <col min="2" max="2" width="26.81640625" customWidth="1"/>
    <col min="3" max="3" width="19.81640625" customWidth="1"/>
    <col min="4" max="4" width="21.7265625" customWidth="1"/>
    <col min="5" max="18" width="19.54296875" customWidth="1"/>
    <col min="19" max="30" width="20.7265625" customWidth="1"/>
    <col min="31" max="31" width="11.08984375" customWidth="1"/>
    <col min="32" max="32" width="12.08984375" customWidth="1"/>
    <col min="33" max="33" width="8.7265625" customWidth="1"/>
    <col min="34" max="34" width="18" customWidth="1"/>
    <col min="35" max="35" width="19.7265625" customWidth="1"/>
    <col min="36" max="36" width="8.7265625" customWidth="1"/>
  </cols>
  <sheetData>
    <row r="1" spans="1:36" ht="14.5">
      <c r="A1" s="496" t="s">
        <v>24</v>
      </c>
      <c r="B1" s="496" t="s">
        <v>25</v>
      </c>
      <c r="C1" s="494" t="s">
        <v>26</v>
      </c>
      <c r="D1" s="486"/>
      <c r="E1" s="497" t="s">
        <v>8</v>
      </c>
      <c r="F1" s="486"/>
      <c r="G1" s="497" t="s">
        <v>27</v>
      </c>
      <c r="H1" s="486"/>
      <c r="I1" s="494" t="s">
        <v>10</v>
      </c>
      <c r="J1" s="486"/>
      <c r="K1" s="495" t="s">
        <v>28</v>
      </c>
      <c r="L1" s="486"/>
      <c r="M1" s="495" t="s">
        <v>29</v>
      </c>
      <c r="N1" s="486"/>
      <c r="O1" s="495" t="s">
        <v>30</v>
      </c>
      <c r="P1" s="486"/>
      <c r="Q1" s="495" t="s">
        <v>31</v>
      </c>
      <c r="R1" s="486"/>
      <c r="S1" s="495" t="s">
        <v>32</v>
      </c>
      <c r="T1" s="486"/>
      <c r="U1" s="495" t="s">
        <v>33</v>
      </c>
      <c r="V1" s="486"/>
      <c r="W1" s="495" t="s">
        <v>34</v>
      </c>
      <c r="X1" s="486"/>
      <c r="Y1" s="495" t="s">
        <v>35</v>
      </c>
      <c r="Z1" s="486"/>
      <c r="AA1" s="495" t="s">
        <v>36</v>
      </c>
      <c r="AB1" s="486"/>
      <c r="AC1" s="495" t="s">
        <v>20</v>
      </c>
      <c r="AD1" s="486"/>
      <c r="AE1" s="495" t="s">
        <v>37</v>
      </c>
      <c r="AF1" s="486"/>
      <c r="AG1" s="38"/>
      <c r="AH1" s="38"/>
    </row>
    <row r="2" spans="1:36" ht="14.5">
      <c r="A2" s="489"/>
      <c r="B2" s="489"/>
      <c r="C2" s="54" t="s">
        <v>38</v>
      </c>
      <c r="D2" s="55" t="s">
        <v>39</v>
      </c>
      <c r="E2" s="56" t="s">
        <v>38</v>
      </c>
      <c r="F2" s="56" t="s">
        <v>39</v>
      </c>
      <c r="G2" s="56" t="s">
        <v>38</v>
      </c>
      <c r="H2" s="56" t="s">
        <v>39</v>
      </c>
      <c r="I2" s="56" t="s">
        <v>38</v>
      </c>
      <c r="J2" s="56" t="s">
        <v>39</v>
      </c>
      <c r="K2" s="56" t="s">
        <v>38</v>
      </c>
      <c r="L2" s="56" t="s">
        <v>39</v>
      </c>
      <c r="M2" s="56" t="s">
        <v>38</v>
      </c>
      <c r="N2" s="56" t="s">
        <v>39</v>
      </c>
      <c r="O2" s="56" t="s">
        <v>38</v>
      </c>
      <c r="P2" s="56" t="s">
        <v>39</v>
      </c>
      <c r="Q2" s="56" t="s">
        <v>38</v>
      </c>
      <c r="R2" s="56" t="s">
        <v>39</v>
      </c>
      <c r="S2" s="56" t="s">
        <v>38</v>
      </c>
      <c r="T2" s="56" t="s">
        <v>39</v>
      </c>
      <c r="U2" s="56" t="s">
        <v>38</v>
      </c>
      <c r="V2" s="56" t="s">
        <v>39</v>
      </c>
      <c r="W2" s="56" t="s">
        <v>38</v>
      </c>
      <c r="X2" s="56" t="s">
        <v>39</v>
      </c>
      <c r="Y2" s="56" t="s">
        <v>38</v>
      </c>
      <c r="Z2" s="56" t="s">
        <v>39</v>
      </c>
      <c r="AA2" s="56" t="s">
        <v>38</v>
      </c>
      <c r="AB2" s="56" t="s">
        <v>39</v>
      </c>
      <c r="AC2" s="56" t="s">
        <v>38</v>
      </c>
      <c r="AD2" s="56" t="s">
        <v>39</v>
      </c>
      <c r="AE2" s="56" t="s">
        <v>38</v>
      </c>
      <c r="AF2" s="56" t="s">
        <v>39</v>
      </c>
      <c r="AG2" s="38"/>
      <c r="AH2" s="38"/>
    </row>
    <row r="3" spans="1:36" ht="24.75" customHeight="1">
      <c r="A3" s="57" t="s">
        <v>40</v>
      </c>
      <c r="B3" s="58" t="s">
        <v>41</v>
      </c>
      <c r="C3" s="59"/>
      <c r="D3" s="59"/>
      <c r="E3" s="56"/>
      <c r="F3" s="60"/>
      <c r="G3" s="56"/>
      <c r="H3" s="56"/>
      <c r="I3" s="61"/>
      <c r="J3" s="61"/>
      <c r="K3" s="62"/>
      <c r="L3" s="63"/>
      <c r="M3" s="64"/>
      <c r="N3" s="64"/>
      <c r="O3" s="64"/>
      <c r="P3" s="64"/>
      <c r="Q3" s="64"/>
      <c r="R3" s="64"/>
      <c r="S3" s="64"/>
      <c r="T3" s="64"/>
      <c r="U3" s="64"/>
      <c r="V3" s="65"/>
      <c r="W3" s="64"/>
      <c r="X3" s="65"/>
      <c r="Y3" s="64"/>
      <c r="Z3" s="65"/>
      <c r="AA3" s="64"/>
      <c r="AB3" s="65"/>
      <c r="AC3" s="64"/>
      <c r="AD3" s="64"/>
      <c r="AE3" s="64"/>
      <c r="AF3" s="66"/>
      <c r="AG3" s="38"/>
      <c r="AH3" s="38"/>
    </row>
    <row r="4" spans="1:36" ht="24.75" customHeight="1">
      <c r="A4" s="67">
        <v>1</v>
      </c>
      <c r="B4" s="68" t="s">
        <v>4</v>
      </c>
      <c r="C4" s="69">
        <v>23050000000</v>
      </c>
      <c r="D4" s="69">
        <v>124950000000</v>
      </c>
      <c r="E4" s="70">
        <v>1523717752</v>
      </c>
      <c r="F4" s="70">
        <v>9986724116</v>
      </c>
      <c r="G4" s="71">
        <v>1570246660</v>
      </c>
      <c r="H4" s="71">
        <v>10403627654</v>
      </c>
      <c r="I4" s="71">
        <v>1571961976</v>
      </c>
      <c r="J4" s="71">
        <v>10345227924</v>
      </c>
      <c r="K4" s="272">
        <v>1585539979</v>
      </c>
      <c r="L4" s="272">
        <v>10305569703</v>
      </c>
      <c r="M4" s="72">
        <v>1595639458</v>
      </c>
      <c r="N4" s="72">
        <v>10224734192</v>
      </c>
      <c r="O4" s="63">
        <v>1636566680</v>
      </c>
      <c r="P4" s="63">
        <v>10245824218</v>
      </c>
      <c r="Q4" s="63">
        <v>1592052917</v>
      </c>
      <c r="R4" s="63">
        <v>10091689937</v>
      </c>
      <c r="S4" s="73">
        <v>1596177863</v>
      </c>
      <c r="T4" s="74">
        <v>10143936587</v>
      </c>
      <c r="U4" s="75">
        <v>1603505114</v>
      </c>
      <c r="V4" s="74">
        <v>10130025885</v>
      </c>
      <c r="W4" s="75">
        <v>1531120269</v>
      </c>
      <c r="X4" s="74">
        <v>9508456652</v>
      </c>
      <c r="Y4" s="75">
        <v>1655321461</v>
      </c>
      <c r="Z4" s="74">
        <v>10479609439</v>
      </c>
      <c r="AA4" s="76">
        <v>1650798438</v>
      </c>
      <c r="AB4" s="74">
        <v>10346477256</v>
      </c>
      <c r="AC4" s="63">
        <f t="shared" ref="AC4:AD4" si="0">E4+G4+I4+K4+M4+O4+Q4+S4+U4+W4+Y4+AA4</f>
        <v>19112648567</v>
      </c>
      <c r="AD4" s="63">
        <f t="shared" si="0"/>
        <v>122211903563</v>
      </c>
      <c r="AE4" s="77">
        <f t="shared" ref="AE4:AF4" si="1">AC4/C4</f>
        <v>0.82918215041214749</v>
      </c>
      <c r="AF4" s="77">
        <f t="shared" si="1"/>
        <v>0.97808646308923575</v>
      </c>
      <c r="AG4" s="38"/>
      <c r="AH4" s="78"/>
      <c r="AI4" s="79"/>
    </row>
    <row r="5" spans="1:36" ht="24.75" customHeight="1">
      <c r="A5" s="67">
        <v>2</v>
      </c>
      <c r="B5" s="80" t="s">
        <v>42</v>
      </c>
      <c r="C5" s="81">
        <v>2820000000</v>
      </c>
      <c r="D5" s="81">
        <v>4880000000</v>
      </c>
      <c r="E5" s="82"/>
      <c r="F5" s="82">
        <v>4205556</v>
      </c>
      <c r="G5" s="71"/>
      <c r="H5" s="71"/>
      <c r="I5" s="71">
        <v>144600000</v>
      </c>
      <c r="J5" s="71">
        <v>954040102</v>
      </c>
      <c r="K5" s="273">
        <v>625695999</v>
      </c>
      <c r="L5" s="273">
        <v>1930137444</v>
      </c>
      <c r="M5" s="63">
        <v>47530000</v>
      </c>
      <c r="N5" s="63">
        <v>16338000</v>
      </c>
      <c r="O5" s="83"/>
      <c r="P5" s="63"/>
      <c r="Q5" s="83"/>
      <c r="R5" s="63"/>
      <c r="S5" s="63"/>
      <c r="T5" s="63"/>
      <c r="U5" s="63"/>
      <c r="V5" s="63"/>
      <c r="W5" s="63"/>
      <c r="X5" s="63"/>
      <c r="Y5" s="63"/>
      <c r="Z5" s="74"/>
      <c r="AA5" s="63"/>
      <c r="AB5" s="63"/>
      <c r="AC5" s="63">
        <f t="shared" ref="AC5:AD5" si="2">E5+G5+I5+K5+M5+O5+Q5+S5+U5+W5+Y5+AA5</f>
        <v>817825999</v>
      </c>
      <c r="AD5" s="63">
        <f t="shared" si="2"/>
        <v>2904721102</v>
      </c>
      <c r="AE5" s="77">
        <f t="shared" ref="AE5:AF5" si="3">AC5/C5</f>
        <v>0.29000921950354608</v>
      </c>
      <c r="AF5" s="77">
        <f t="shared" si="3"/>
        <v>0.59522973401639345</v>
      </c>
      <c r="AG5" s="38"/>
      <c r="AH5" s="78"/>
    </row>
    <row r="6" spans="1:36" ht="24.75" customHeight="1">
      <c r="A6" s="67">
        <v>3</v>
      </c>
      <c r="B6" s="80" t="s">
        <v>43</v>
      </c>
      <c r="C6" s="84"/>
      <c r="D6" s="80">
        <v>1800000000</v>
      </c>
      <c r="E6" s="82"/>
      <c r="F6" s="82">
        <v>2040000</v>
      </c>
      <c r="G6" s="71"/>
      <c r="H6" s="71">
        <v>5625000</v>
      </c>
      <c r="I6" s="71"/>
      <c r="J6" s="71">
        <v>5505000</v>
      </c>
      <c r="K6" s="82"/>
      <c r="L6" s="63">
        <f>236255094+500000</f>
        <v>236755094</v>
      </c>
      <c r="M6" s="82"/>
      <c r="N6" s="63">
        <v>23626000</v>
      </c>
      <c r="O6" s="82"/>
      <c r="P6" s="85">
        <v>19984313</v>
      </c>
      <c r="Q6" s="82"/>
      <c r="R6" s="85">
        <v>1300000</v>
      </c>
      <c r="S6" s="63"/>
      <c r="T6" s="74">
        <v>5613399.5899999999</v>
      </c>
      <c r="U6" s="63"/>
      <c r="V6" s="74"/>
      <c r="W6" s="63">
        <v>0</v>
      </c>
      <c r="X6" s="74">
        <v>0</v>
      </c>
      <c r="Y6" s="74">
        <v>0</v>
      </c>
      <c r="Z6" s="74"/>
      <c r="AA6" s="63">
        <v>0</v>
      </c>
      <c r="AB6" s="74">
        <v>5000000</v>
      </c>
      <c r="AC6" s="63">
        <f t="shared" ref="AC6:AD6" si="4">E6+G6+I6+K6+M6+O6+Q6+S6+U6+W6+Y6+AA6</f>
        <v>0</v>
      </c>
      <c r="AD6" s="63">
        <f t="shared" si="4"/>
        <v>305448806.58999997</v>
      </c>
      <c r="AE6" s="86"/>
      <c r="AF6" s="77">
        <f>AD6/D6</f>
        <v>0.16969378143888889</v>
      </c>
      <c r="AG6" s="38"/>
      <c r="AH6" s="78"/>
    </row>
    <row r="7" spans="1:36" ht="24.75" customHeight="1">
      <c r="A7" s="67">
        <v>4</v>
      </c>
      <c r="B7" s="80" t="s">
        <v>44</v>
      </c>
      <c r="C7" s="81">
        <v>5000000000</v>
      </c>
      <c r="D7" s="81">
        <v>0</v>
      </c>
      <c r="E7" s="82">
        <v>55588181</v>
      </c>
      <c r="F7" s="82"/>
      <c r="G7" s="71">
        <v>37968288</v>
      </c>
      <c r="H7" s="71"/>
      <c r="I7" s="71">
        <v>55047715</v>
      </c>
      <c r="J7" s="71"/>
      <c r="K7" s="63">
        <v>180282988</v>
      </c>
      <c r="L7" s="63"/>
      <c r="M7" s="63">
        <v>63628055</v>
      </c>
      <c r="N7" s="87"/>
      <c r="O7" s="63">
        <v>71484025</v>
      </c>
      <c r="P7" s="63"/>
      <c r="Q7" s="63">
        <v>40309200</v>
      </c>
      <c r="R7" s="63"/>
      <c r="S7" s="74">
        <v>31920906</v>
      </c>
      <c r="T7" s="63"/>
      <c r="U7" s="74">
        <v>35918030</v>
      </c>
      <c r="W7" s="74">
        <v>45782031</v>
      </c>
      <c r="X7" s="63">
        <v>0</v>
      </c>
      <c r="Y7" s="63">
        <v>38267407</v>
      </c>
      <c r="Z7" s="63"/>
      <c r="AA7" s="74">
        <v>44255015</v>
      </c>
      <c r="AB7" s="63"/>
      <c r="AC7" s="63">
        <f t="shared" ref="AC7:AD7" si="5">E7+G7+I7+K7+M7+O7+Q7+S7+U7+W7+Y7+AA7</f>
        <v>700451841</v>
      </c>
      <c r="AD7" s="63">
        <f t="shared" si="5"/>
        <v>0</v>
      </c>
      <c r="AE7" s="77">
        <f t="shared" ref="AE7:AE8" si="6">AC7/C7</f>
        <v>0.14009036820000001</v>
      </c>
      <c r="AF7" s="77"/>
      <c r="AG7" s="38"/>
      <c r="AH7" s="78"/>
    </row>
    <row r="8" spans="1:36" ht="24.75" customHeight="1">
      <c r="A8" s="67">
        <v>5</v>
      </c>
      <c r="B8" s="80" t="s">
        <v>45</v>
      </c>
      <c r="C8" s="81">
        <v>3300000000</v>
      </c>
      <c r="D8" s="81">
        <v>1200000000</v>
      </c>
      <c r="E8" s="82">
        <v>83271337</v>
      </c>
      <c r="F8" s="82"/>
      <c r="G8" s="88">
        <v>61518194</v>
      </c>
      <c r="H8" s="71"/>
      <c r="I8" s="71">
        <v>117851876</v>
      </c>
      <c r="J8" s="71"/>
      <c r="K8" s="71">
        <v>319552557</v>
      </c>
      <c r="L8" s="63"/>
      <c r="M8" s="71">
        <v>154006225</v>
      </c>
      <c r="N8" s="87"/>
      <c r="O8" s="63">
        <v>76755618</v>
      </c>
      <c r="P8" s="63"/>
      <c r="Q8" s="63">
        <v>54364360</v>
      </c>
      <c r="R8" s="63"/>
      <c r="S8" s="74">
        <v>91274450</v>
      </c>
      <c r="T8" s="63"/>
      <c r="U8" s="74">
        <v>73842720</v>
      </c>
      <c r="V8" s="63"/>
      <c r="W8" s="63">
        <f>37211335+84419317</f>
        <v>121630652</v>
      </c>
      <c r="X8" s="63">
        <v>0</v>
      </c>
      <c r="Y8" s="74">
        <v>190665029</v>
      </c>
      <c r="Z8" s="63"/>
      <c r="AA8" s="74">
        <v>231185629</v>
      </c>
      <c r="AB8" s="63"/>
      <c r="AC8" s="63">
        <f t="shared" ref="AC8:AD8" si="7">E8+G8+I8+K8+M8+O8+Q8+S8+U8+W8+Y8+AA8</f>
        <v>1575918647</v>
      </c>
      <c r="AD8" s="63">
        <f t="shared" si="7"/>
        <v>0</v>
      </c>
      <c r="AE8" s="77">
        <f t="shared" si="6"/>
        <v>0.47755110515151517</v>
      </c>
      <c r="AF8" s="77">
        <f t="shared" ref="AF8:AF9" si="8">AD8/D8</f>
        <v>0</v>
      </c>
      <c r="AG8" s="38"/>
      <c r="AH8" s="78"/>
    </row>
    <row r="9" spans="1:36" ht="24.75" customHeight="1">
      <c r="A9" s="67">
        <v>6</v>
      </c>
      <c r="B9" s="80" t="s">
        <v>46</v>
      </c>
      <c r="C9" s="81">
        <v>1860000000</v>
      </c>
      <c r="D9" s="81">
        <v>6640000000</v>
      </c>
      <c r="E9" s="82">
        <v>0</v>
      </c>
      <c r="F9" s="82"/>
      <c r="G9" s="71"/>
      <c r="H9" s="71"/>
      <c r="I9" s="71">
        <v>45000</v>
      </c>
      <c r="J9" s="71">
        <v>1768000</v>
      </c>
      <c r="K9" s="274">
        <v>394610061</v>
      </c>
      <c r="L9" s="273">
        <v>3855144800</v>
      </c>
      <c r="M9" s="89"/>
      <c r="N9" s="63">
        <v>20000000</v>
      </c>
      <c r="O9" s="63"/>
      <c r="P9" s="63">
        <v>0</v>
      </c>
      <c r="Q9" s="63"/>
      <c r="R9" s="63">
        <v>0</v>
      </c>
      <c r="S9" s="63"/>
      <c r="T9" s="63"/>
      <c r="U9" s="63"/>
      <c r="V9" s="63"/>
      <c r="W9" s="63">
        <v>0</v>
      </c>
      <c r="X9" s="63">
        <v>0</v>
      </c>
      <c r="Y9" s="63">
        <v>0</v>
      </c>
      <c r="Z9" s="63"/>
      <c r="AA9" s="63">
        <v>0</v>
      </c>
      <c r="AB9" s="63"/>
      <c r="AC9" s="63">
        <f t="shared" ref="AC9:AD9" si="9">E9+G9+I9+K9+M9+O9+Q9+S9+U9+W9+Y9+AA9</f>
        <v>394655061</v>
      </c>
      <c r="AD9" s="63">
        <f t="shared" si="9"/>
        <v>3876912800</v>
      </c>
      <c r="AE9" s="86"/>
      <c r="AF9" s="77">
        <f t="shared" si="8"/>
        <v>0.58387240963855425</v>
      </c>
      <c r="AG9" s="38"/>
      <c r="AH9" s="78">
        <f>AC9+AD9</f>
        <v>4271567861</v>
      </c>
    </row>
    <row r="10" spans="1:36" ht="24.75" customHeight="1">
      <c r="A10" s="67">
        <v>7</v>
      </c>
      <c r="B10" s="80" t="s">
        <v>47</v>
      </c>
      <c r="C10" s="81">
        <v>12714500000</v>
      </c>
      <c r="D10" s="81">
        <v>7585500000</v>
      </c>
      <c r="E10" s="82">
        <v>604427850</v>
      </c>
      <c r="F10" s="82">
        <v>36771000</v>
      </c>
      <c r="G10" s="71">
        <v>256316803</v>
      </c>
      <c r="H10" s="71">
        <v>71687000</v>
      </c>
      <c r="I10" s="71">
        <v>1099333589</v>
      </c>
      <c r="J10" s="71">
        <v>103917000</v>
      </c>
      <c r="K10" s="273">
        <v>3620378827</v>
      </c>
      <c r="L10" s="273">
        <v>44813889</v>
      </c>
      <c r="M10" s="63">
        <f>235507954+3512774</f>
        <v>239020728</v>
      </c>
      <c r="N10" s="63">
        <f>45389108-3512774</f>
        <v>41876334</v>
      </c>
      <c r="O10" s="63">
        <v>797090437</v>
      </c>
      <c r="P10" s="63">
        <v>11020000</v>
      </c>
      <c r="Q10" s="63">
        <f>3511272542+25000</f>
        <v>3511297542</v>
      </c>
      <c r="R10" s="63">
        <v>28807500</v>
      </c>
      <c r="S10" s="74">
        <v>827932576</v>
      </c>
      <c r="T10" s="74">
        <v>17411500</v>
      </c>
      <c r="U10" s="74">
        <f>1573974150+99123475</f>
        <v>1673097625</v>
      </c>
      <c r="V10" s="74">
        <v>31676000</v>
      </c>
      <c r="W10" s="74">
        <f>3733460840+418000</f>
        <v>3733878840</v>
      </c>
      <c r="X10" s="90">
        <v>259500500</v>
      </c>
      <c r="Y10" s="74">
        <f>1079888127-1126630+3400455</f>
        <v>1082161952</v>
      </c>
      <c r="Z10" s="74">
        <v>43900000</v>
      </c>
      <c r="AA10" s="74">
        <f>3856055884+19119310</f>
        <v>3875175194</v>
      </c>
      <c r="AB10" s="74">
        <v>147152778</v>
      </c>
      <c r="AC10" s="63">
        <f t="shared" ref="AC10:AD10" si="10">E10+G10+I10+K10+M10+O10+Q10+S10+U10+W10+Y10+AA10</f>
        <v>21320111963</v>
      </c>
      <c r="AD10" s="63">
        <f t="shared" si="10"/>
        <v>838533501</v>
      </c>
      <c r="AE10" s="77">
        <f t="shared" ref="AE10:AF10" si="11">AC10/C10</f>
        <v>1.6768344774076842</v>
      </c>
      <c r="AF10" s="77">
        <f t="shared" si="11"/>
        <v>0.11054426221079691</v>
      </c>
      <c r="AG10" s="38"/>
      <c r="AH10" s="78"/>
    </row>
    <row r="11" spans="1:36" ht="24.75" customHeight="1">
      <c r="A11" s="42"/>
      <c r="B11" s="91" t="s">
        <v>48</v>
      </c>
      <c r="C11" s="92">
        <f>SUM(C4:C10)</f>
        <v>48744500000</v>
      </c>
      <c r="D11" s="92">
        <v>147055500000</v>
      </c>
      <c r="E11" s="92">
        <f t="shared" ref="E11:AB11" si="12">SUM(E4:E10)</f>
        <v>2267005120</v>
      </c>
      <c r="F11" s="92">
        <f t="shared" si="12"/>
        <v>10029740672</v>
      </c>
      <c r="G11" s="92">
        <f t="shared" si="12"/>
        <v>1926049945</v>
      </c>
      <c r="H11" s="92">
        <f t="shared" si="12"/>
        <v>10480939654</v>
      </c>
      <c r="I11" s="92">
        <f t="shared" si="12"/>
        <v>2988840156</v>
      </c>
      <c r="J11" s="92">
        <f t="shared" si="12"/>
        <v>11410458026</v>
      </c>
      <c r="K11" s="92">
        <f t="shared" si="12"/>
        <v>6726060411</v>
      </c>
      <c r="L11" s="92">
        <f t="shared" si="12"/>
        <v>16372420930</v>
      </c>
      <c r="M11" s="92">
        <f t="shared" si="12"/>
        <v>2099824466</v>
      </c>
      <c r="N11" s="92">
        <f t="shared" si="12"/>
        <v>10326574526</v>
      </c>
      <c r="O11" s="92">
        <f t="shared" si="12"/>
        <v>2581896760</v>
      </c>
      <c r="P11" s="92">
        <f t="shared" si="12"/>
        <v>10276828531</v>
      </c>
      <c r="Q11" s="92">
        <f t="shared" si="12"/>
        <v>5198024019</v>
      </c>
      <c r="R11" s="92">
        <f t="shared" si="12"/>
        <v>10121797437</v>
      </c>
      <c r="S11" s="92">
        <f t="shared" si="12"/>
        <v>2547305795</v>
      </c>
      <c r="T11" s="92">
        <f t="shared" si="12"/>
        <v>10166961486.59</v>
      </c>
      <c r="U11" s="92">
        <f t="shared" si="12"/>
        <v>3386363489</v>
      </c>
      <c r="V11" s="92">
        <f t="shared" si="12"/>
        <v>10161701885</v>
      </c>
      <c r="W11" s="92">
        <f t="shared" si="12"/>
        <v>5432411792</v>
      </c>
      <c r="X11" s="92">
        <f t="shared" si="12"/>
        <v>9767957152</v>
      </c>
      <c r="Y11" s="92">
        <f t="shared" si="12"/>
        <v>2966415849</v>
      </c>
      <c r="Z11" s="92">
        <f t="shared" si="12"/>
        <v>10523509439</v>
      </c>
      <c r="AA11" s="92">
        <f t="shared" si="12"/>
        <v>5801414276</v>
      </c>
      <c r="AB11" s="92">
        <f t="shared" si="12"/>
        <v>10498630034</v>
      </c>
      <c r="AC11" s="93">
        <f>E11+G11+I11+K11+M11+O11+Q11+S11+U11+W11+Y11+AA11</f>
        <v>43921612078</v>
      </c>
      <c r="AD11" s="92">
        <f>SUM(AD4:AD10)</f>
        <v>130137519772.59</v>
      </c>
      <c r="AE11" s="86">
        <f t="shared" ref="AE11:AF11" si="13">AC11/C11</f>
        <v>0.90105780299315819</v>
      </c>
      <c r="AF11" s="86">
        <f t="shared" si="13"/>
        <v>0.88495513443965035</v>
      </c>
      <c r="AG11" s="38"/>
      <c r="AH11" s="78"/>
    </row>
    <row r="12" spans="1:36" ht="24.75" customHeight="1">
      <c r="A12" s="42"/>
      <c r="B12" s="91"/>
      <c r="C12" s="91"/>
      <c r="D12" s="91"/>
      <c r="E12" s="94"/>
      <c r="F12" s="94"/>
      <c r="G12" s="94"/>
      <c r="H12" s="94"/>
      <c r="I12" s="94"/>
      <c r="J12" s="94"/>
      <c r="K12" s="95"/>
      <c r="L12" s="62"/>
      <c r="M12" s="94"/>
      <c r="N12" s="94"/>
      <c r="O12" s="94"/>
      <c r="P12" s="94"/>
      <c r="Q12" s="94"/>
      <c r="R12" s="94"/>
      <c r="S12" s="18"/>
      <c r="T12" s="94"/>
      <c r="U12" s="94"/>
      <c r="V12" s="94"/>
      <c r="W12" s="94"/>
      <c r="X12" s="94"/>
      <c r="Y12" s="94"/>
      <c r="Z12" s="94"/>
      <c r="AA12" s="94"/>
      <c r="AB12" s="96"/>
      <c r="AC12" s="94"/>
      <c r="AD12" s="94"/>
      <c r="AE12" s="97"/>
      <c r="AF12" s="98"/>
      <c r="AG12" s="38"/>
      <c r="AH12" s="78"/>
    </row>
    <row r="13" spans="1:36" ht="24.75" customHeight="1">
      <c r="A13" s="57" t="s">
        <v>49</v>
      </c>
      <c r="B13" s="58" t="s">
        <v>50</v>
      </c>
      <c r="C13" s="59"/>
      <c r="D13" s="59"/>
      <c r="E13" s="82"/>
      <c r="F13" s="99"/>
      <c r="G13" s="94"/>
      <c r="H13" s="94"/>
      <c r="I13" s="71"/>
      <c r="J13" s="71"/>
      <c r="K13" s="63"/>
      <c r="L13" s="63"/>
      <c r="M13" s="63"/>
      <c r="N13" s="63"/>
      <c r="O13" s="63"/>
      <c r="P13" s="63"/>
      <c r="Q13" s="100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101"/>
      <c r="AF13" s="101"/>
      <c r="AG13" s="38"/>
      <c r="AH13" s="78"/>
    </row>
    <row r="14" spans="1:36" ht="24.75" customHeight="1">
      <c r="A14" s="67">
        <v>1</v>
      </c>
      <c r="B14" s="80" t="s">
        <v>43</v>
      </c>
      <c r="C14" s="84"/>
      <c r="D14" s="80">
        <v>58700000000</v>
      </c>
      <c r="E14" s="82"/>
      <c r="F14" s="82">
        <v>720502239</v>
      </c>
      <c r="G14" s="71"/>
      <c r="H14" s="71">
        <v>791516670</v>
      </c>
      <c r="I14" s="71"/>
      <c r="J14" s="71">
        <v>2034281965</v>
      </c>
      <c r="K14" s="63"/>
      <c r="L14" s="275">
        <v>22139953797</v>
      </c>
      <c r="M14" s="88"/>
      <c r="N14" s="275">
        <v>7042955432</v>
      </c>
      <c r="O14" s="63"/>
      <c r="P14" s="63">
        <v>1843534618</v>
      </c>
      <c r="Q14" s="63"/>
      <c r="R14" s="63">
        <f>1754293508+40000000+17920000</f>
        <v>1812213508</v>
      </c>
      <c r="S14" s="102"/>
      <c r="T14" s="74">
        <f>5177452054-17297734</f>
        <v>5160154320</v>
      </c>
      <c r="U14" s="103"/>
      <c r="V14" s="74">
        <f>4003708954</f>
        <v>4003708954</v>
      </c>
      <c r="W14" s="103"/>
      <c r="X14" s="74">
        <f>3478762095+355556</f>
        <v>3479117651</v>
      </c>
      <c r="Y14" s="103"/>
      <c r="Z14" s="74">
        <f>2627044422</f>
        <v>2627044422</v>
      </c>
      <c r="AA14" s="103"/>
      <c r="AB14" s="74">
        <f>11473769746+531798000+990898088</f>
        <v>12996465834</v>
      </c>
      <c r="AC14" s="63">
        <f t="shared" ref="AC14:AD14" si="14">E14+G14+I14+K14+M14+O14+Q14+S14+U14+W14+Y14+AA14</f>
        <v>0</v>
      </c>
      <c r="AD14" s="63">
        <f t="shared" si="14"/>
        <v>64651449410</v>
      </c>
      <c r="AE14" s="86"/>
      <c r="AF14" s="77">
        <f>AD14/D14</f>
        <v>1.1013875538330493</v>
      </c>
      <c r="AG14" s="38"/>
      <c r="AH14" s="78"/>
      <c r="AI14" s="104"/>
      <c r="AJ14" s="105"/>
    </row>
    <row r="15" spans="1:36" ht="24.75" customHeight="1">
      <c r="A15" s="67">
        <v>2</v>
      </c>
      <c r="B15" s="80" t="s">
        <v>51</v>
      </c>
      <c r="C15" s="81">
        <v>1500000000</v>
      </c>
      <c r="D15" s="81">
        <v>10900000000</v>
      </c>
      <c r="E15" s="82">
        <v>157861451</v>
      </c>
      <c r="F15" s="82"/>
      <c r="G15" s="71">
        <v>107485276</v>
      </c>
      <c r="H15" s="71"/>
      <c r="I15" s="106">
        <v>257087453</v>
      </c>
      <c r="J15" s="106">
        <v>33365406</v>
      </c>
      <c r="K15" s="63">
        <v>1065988958</v>
      </c>
      <c r="L15" s="63"/>
      <c r="M15" s="63">
        <v>74482700</v>
      </c>
      <c r="N15" s="63">
        <v>905368</v>
      </c>
      <c r="O15" s="63">
        <f>97814216+250000</f>
        <v>98064216</v>
      </c>
      <c r="P15" s="63">
        <v>660270</v>
      </c>
      <c r="Q15" s="63">
        <v>74113501</v>
      </c>
      <c r="R15" s="63">
        <v>2773700</v>
      </c>
      <c r="S15" s="63">
        <v>81480050</v>
      </c>
      <c r="T15" s="63">
        <v>626764</v>
      </c>
      <c r="U15" s="107">
        <v>56067977</v>
      </c>
      <c r="V15" s="108">
        <v>756559</v>
      </c>
      <c r="W15" s="107">
        <v>75777000</v>
      </c>
      <c r="X15" s="109">
        <v>1766648</v>
      </c>
      <c r="Y15" s="107">
        <v>1164309090</v>
      </c>
      <c r="Z15" s="108">
        <v>153659643</v>
      </c>
      <c r="AA15" s="107">
        <v>181503366</v>
      </c>
      <c r="AB15" s="108">
        <v>35512000</v>
      </c>
      <c r="AC15" s="63">
        <f t="shared" ref="AC15:AD15" si="15">E15+G15+I15+K15+M15+O15+Q15+S15+U15+W15+Y15+AA15</f>
        <v>3394221038</v>
      </c>
      <c r="AD15" s="63">
        <f t="shared" si="15"/>
        <v>230026358</v>
      </c>
      <c r="AE15" s="77">
        <f t="shared" ref="AE15:AF15" si="16">AC15/C15</f>
        <v>2.2628140253333333</v>
      </c>
      <c r="AF15" s="77">
        <f t="shared" si="16"/>
        <v>2.1103335596330274E-2</v>
      </c>
      <c r="AG15" s="38"/>
      <c r="AH15" s="78"/>
      <c r="AI15" s="105"/>
      <c r="AJ15" s="110"/>
    </row>
    <row r="16" spans="1:36" ht="24.75" customHeight="1">
      <c r="A16" s="67">
        <v>3</v>
      </c>
      <c r="B16" s="80" t="s">
        <v>52</v>
      </c>
      <c r="C16" s="81">
        <v>2700000000</v>
      </c>
      <c r="D16" s="81">
        <v>800000000</v>
      </c>
      <c r="E16" s="111">
        <v>1851000</v>
      </c>
      <c r="F16" s="82"/>
      <c r="G16" s="112">
        <v>4627800</v>
      </c>
      <c r="H16" s="71"/>
      <c r="I16" s="71">
        <v>5829318</v>
      </c>
      <c r="J16" s="71"/>
      <c r="K16" s="89">
        <v>7596743</v>
      </c>
      <c r="L16" s="63"/>
      <c r="M16" s="63">
        <v>3521483</v>
      </c>
      <c r="N16" s="63"/>
      <c r="O16" s="63">
        <v>1291000</v>
      </c>
      <c r="P16" s="63"/>
      <c r="Q16" s="63">
        <v>646195</v>
      </c>
      <c r="R16" s="63"/>
      <c r="S16" s="63">
        <v>377252</v>
      </c>
      <c r="T16" s="63"/>
      <c r="U16" s="74">
        <v>2947470</v>
      </c>
      <c r="V16" s="63"/>
      <c r="W16" s="74">
        <v>2837860</v>
      </c>
      <c r="X16" s="63"/>
      <c r="Y16" s="74">
        <v>1637422</v>
      </c>
      <c r="Z16" s="63"/>
      <c r="AA16" s="74">
        <v>311500</v>
      </c>
      <c r="AB16" s="74"/>
      <c r="AC16" s="63">
        <f t="shared" ref="AC16:AD16" si="17">E16+G16+I16+K16+M16+O16+Q16+S16+U16+W16+Y16+AA16</f>
        <v>33475043</v>
      </c>
      <c r="AD16" s="63">
        <f t="shared" si="17"/>
        <v>0</v>
      </c>
      <c r="AE16" s="77">
        <f t="shared" ref="AE16:AF16" si="18">AC16/C16</f>
        <v>1.2398164074074075E-2</v>
      </c>
      <c r="AF16" s="77">
        <f t="shared" si="18"/>
        <v>0</v>
      </c>
      <c r="AG16" s="38"/>
      <c r="AH16" s="78"/>
      <c r="AI16" s="18"/>
      <c r="AJ16" s="113"/>
    </row>
    <row r="17" spans="1:36" ht="24.75" customHeight="1">
      <c r="A17" s="67">
        <v>4</v>
      </c>
      <c r="B17" s="80" t="s">
        <v>53</v>
      </c>
      <c r="C17" s="71">
        <v>2500000000</v>
      </c>
      <c r="D17" s="71">
        <v>8100000000</v>
      </c>
      <c r="E17" s="82">
        <v>1000000</v>
      </c>
      <c r="F17" s="82">
        <v>100068000</v>
      </c>
      <c r="G17" s="71">
        <v>321250</v>
      </c>
      <c r="H17" s="71">
        <v>15489355</v>
      </c>
      <c r="I17" s="114">
        <v>108170000</v>
      </c>
      <c r="J17" s="71">
        <v>29480524</v>
      </c>
      <c r="K17" s="115">
        <f>6198135000-4785000000</f>
        <v>1413135000</v>
      </c>
      <c r="L17" s="63">
        <v>1010991561</v>
      </c>
      <c r="M17" s="82">
        <v>115000000</v>
      </c>
      <c r="N17" s="63">
        <v>12184588</v>
      </c>
      <c r="O17" s="89">
        <v>25000000</v>
      </c>
      <c r="P17" s="63">
        <v>21039748</v>
      </c>
      <c r="Q17" s="89">
        <v>10000000</v>
      </c>
      <c r="R17" s="63">
        <v>34365662</v>
      </c>
      <c r="S17" s="63"/>
      <c r="T17" s="116">
        <v>20361919.41</v>
      </c>
      <c r="U17" s="63">
        <v>1000004</v>
      </c>
      <c r="V17" s="74">
        <v>210598169</v>
      </c>
      <c r="W17" s="63">
        <v>0</v>
      </c>
      <c r="X17" s="90">
        <v>104559153</v>
      </c>
      <c r="Y17" s="74">
        <v>6000045</v>
      </c>
      <c r="Z17" s="74">
        <v>111043500</v>
      </c>
      <c r="AA17" s="63">
        <v>11000000</v>
      </c>
      <c r="AB17" s="74">
        <v>53300000</v>
      </c>
      <c r="AC17" s="63">
        <f t="shared" ref="AC17:AD17" si="19">E17+G17+I17+K17+M17+O17+Q17+S17+U17+W17+Y17+AA17</f>
        <v>1690626299</v>
      </c>
      <c r="AD17" s="63">
        <f t="shared" si="19"/>
        <v>1723482179.4100001</v>
      </c>
      <c r="AE17" s="77">
        <f t="shared" ref="AE17:AF17" si="20">AC17/C17</f>
        <v>0.67625051960000004</v>
      </c>
      <c r="AF17" s="77">
        <f t="shared" si="20"/>
        <v>0.2127755777049383</v>
      </c>
      <c r="AG17" s="38"/>
      <c r="AH17" s="78"/>
      <c r="AI17" s="18"/>
      <c r="AJ17" s="117"/>
    </row>
    <row r="18" spans="1:36" ht="24.75" customHeight="1">
      <c r="A18" s="67">
        <v>5</v>
      </c>
      <c r="B18" s="80" t="s">
        <v>54</v>
      </c>
      <c r="C18" s="81">
        <v>11555500000</v>
      </c>
      <c r="D18" s="81">
        <v>7444500000</v>
      </c>
      <c r="E18" s="82"/>
      <c r="F18" s="82"/>
      <c r="G18" s="94"/>
      <c r="H18" s="94"/>
      <c r="I18" s="71"/>
      <c r="J18" s="71"/>
      <c r="K18" s="63"/>
      <c r="L18" s="63"/>
      <c r="M18" s="89">
        <v>210004</v>
      </c>
      <c r="N18" s="63"/>
      <c r="O18" s="89">
        <v>381466074</v>
      </c>
      <c r="P18" s="63">
        <v>1431634000</v>
      </c>
      <c r="Q18" s="89">
        <v>33975000</v>
      </c>
      <c r="R18" s="63">
        <v>224680000</v>
      </c>
      <c r="S18" s="63">
        <v>23750000</v>
      </c>
      <c r="T18" s="63">
        <v>16410000</v>
      </c>
      <c r="U18" s="63"/>
      <c r="V18" s="63"/>
      <c r="W18" s="63">
        <v>0</v>
      </c>
      <c r="X18" s="63"/>
      <c r="Y18" s="63">
        <v>22000000</v>
      </c>
      <c r="Z18" s="63"/>
      <c r="AA18" s="63"/>
      <c r="AB18" s="74"/>
      <c r="AC18" s="63">
        <f t="shared" ref="AC18:AD18" si="21">E18+G18+I18+K18+M18+O18+Q18+S18+U18+W18+Y18+AA18</f>
        <v>461401078</v>
      </c>
      <c r="AD18" s="63">
        <f t="shared" si="21"/>
        <v>1672724000</v>
      </c>
      <c r="AE18" s="77">
        <f t="shared" ref="AE18:AF18" si="22">AC18/C18</f>
        <v>3.9929131409285619E-2</v>
      </c>
      <c r="AF18" s="77">
        <f t="shared" si="22"/>
        <v>0.2246925918463295</v>
      </c>
      <c r="AG18" s="38"/>
      <c r="AH18" s="78"/>
      <c r="AI18" s="18"/>
      <c r="AJ18" s="88"/>
    </row>
    <row r="19" spans="1:36" ht="24.75" customHeight="1">
      <c r="A19" s="42"/>
      <c r="B19" s="59" t="s">
        <v>55</v>
      </c>
      <c r="C19" s="92">
        <f t="shared" ref="C19:AD19" si="23">SUM(C14:C18)</f>
        <v>18255500000</v>
      </c>
      <c r="D19" s="92">
        <f t="shared" si="23"/>
        <v>85944500000</v>
      </c>
      <c r="E19" s="92">
        <f t="shared" si="23"/>
        <v>160712451</v>
      </c>
      <c r="F19" s="92">
        <f t="shared" si="23"/>
        <v>820570239</v>
      </c>
      <c r="G19" s="92">
        <f t="shared" si="23"/>
        <v>112434326</v>
      </c>
      <c r="H19" s="92">
        <f t="shared" si="23"/>
        <v>807006025</v>
      </c>
      <c r="I19" s="92">
        <f t="shared" si="23"/>
        <v>371086771</v>
      </c>
      <c r="J19" s="92">
        <f t="shared" si="23"/>
        <v>2097127895</v>
      </c>
      <c r="K19" s="92">
        <f t="shared" si="23"/>
        <v>2486720701</v>
      </c>
      <c r="L19" s="92">
        <f t="shared" si="23"/>
        <v>23150945358</v>
      </c>
      <c r="M19" s="92">
        <f t="shared" si="23"/>
        <v>193214187</v>
      </c>
      <c r="N19" s="92">
        <f t="shared" si="23"/>
        <v>7056045388</v>
      </c>
      <c r="O19" s="92">
        <f t="shared" si="23"/>
        <v>505821290</v>
      </c>
      <c r="P19" s="92">
        <f t="shared" si="23"/>
        <v>3296868636</v>
      </c>
      <c r="Q19" s="92">
        <f t="shared" si="23"/>
        <v>118734696</v>
      </c>
      <c r="R19" s="92">
        <f t="shared" si="23"/>
        <v>2074032870</v>
      </c>
      <c r="S19" s="92">
        <f t="shared" si="23"/>
        <v>105607302</v>
      </c>
      <c r="T19" s="92">
        <f t="shared" si="23"/>
        <v>5197553003.4099998</v>
      </c>
      <c r="U19" s="92">
        <f t="shared" si="23"/>
        <v>60015451</v>
      </c>
      <c r="V19" s="92">
        <f t="shared" si="23"/>
        <v>4215063682</v>
      </c>
      <c r="W19" s="92">
        <f t="shared" si="23"/>
        <v>78614860</v>
      </c>
      <c r="X19" s="92">
        <f t="shared" si="23"/>
        <v>3585443452</v>
      </c>
      <c r="Y19" s="92">
        <f t="shared" si="23"/>
        <v>1193946557</v>
      </c>
      <c r="Z19" s="92">
        <f t="shared" si="23"/>
        <v>2891747565</v>
      </c>
      <c r="AA19" s="92">
        <f t="shared" si="23"/>
        <v>192814866</v>
      </c>
      <c r="AB19" s="92">
        <f t="shared" si="23"/>
        <v>13085277834</v>
      </c>
      <c r="AC19" s="92">
        <f t="shared" si="23"/>
        <v>5579723458</v>
      </c>
      <c r="AD19" s="92">
        <f t="shared" si="23"/>
        <v>68277681947.410004</v>
      </c>
      <c r="AE19" s="86">
        <f t="shared" ref="AE19:AF19" si="24">AC19/C19</f>
        <v>0.30564615913012516</v>
      </c>
      <c r="AF19" s="86">
        <f t="shared" si="24"/>
        <v>0.79443922470210426</v>
      </c>
      <c r="AG19" s="38"/>
      <c r="AH19" s="78"/>
      <c r="AI19" s="18"/>
      <c r="AJ19" s="88"/>
    </row>
    <row r="20" spans="1:36" ht="24.75" customHeight="1">
      <c r="A20" s="42"/>
      <c r="B20" s="59" t="s">
        <v>56</v>
      </c>
      <c r="C20" s="92">
        <f t="shared" ref="C20:AD20" si="25">C19+C11</f>
        <v>67000000000</v>
      </c>
      <c r="D20" s="92">
        <f t="shared" si="25"/>
        <v>233000000000</v>
      </c>
      <c r="E20" s="92">
        <f t="shared" si="25"/>
        <v>2427717571</v>
      </c>
      <c r="F20" s="92">
        <f t="shared" si="25"/>
        <v>10850310911</v>
      </c>
      <c r="G20" s="92">
        <f t="shared" si="25"/>
        <v>2038484271</v>
      </c>
      <c r="H20" s="92">
        <f t="shared" si="25"/>
        <v>11287945679</v>
      </c>
      <c r="I20" s="92">
        <f t="shared" si="25"/>
        <v>3359926927</v>
      </c>
      <c r="J20" s="92">
        <f t="shared" si="25"/>
        <v>13507585921</v>
      </c>
      <c r="K20" s="92">
        <f t="shared" si="25"/>
        <v>9212781112</v>
      </c>
      <c r="L20" s="92">
        <f t="shared" si="25"/>
        <v>39523366288</v>
      </c>
      <c r="M20" s="92">
        <f t="shared" si="25"/>
        <v>2293038653</v>
      </c>
      <c r="N20" s="92">
        <f t="shared" si="25"/>
        <v>17382619914</v>
      </c>
      <c r="O20" s="92">
        <f t="shared" si="25"/>
        <v>3087718050</v>
      </c>
      <c r="P20" s="92">
        <f t="shared" si="25"/>
        <v>13573697167</v>
      </c>
      <c r="Q20" s="92">
        <f t="shared" si="25"/>
        <v>5316758715</v>
      </c>
      <c r="R20" s="92">
        <f t="shared" si="25"/>
        <v>12195830307</v>
      </c>
      <c r="S20" s="92">
        <f t="shared" si="25"/>
        <v>2652913097</v>
      </c>
      <c r="T20" s="92">
        <f t="shared" si="25"/>
        <v>15364514490</v>
      </c>
      <c r="U20" s="92">
        <f t="shared" si="25"/>
        <v>3446378940</v>
      </c>
      <c r="V20" s="92">
        <f t="shared" si="25"/>
        <v>14376765567</v>
      </c>
      <c r="W20" s="92">
        <f t="shared" si="25"/>
        <v>5511026652</v>
      </c>
      <c r="X20" s="92">
        <f t="shared" si="25"/>
        <v>13353400604</v>
      </c>
      <c r="Y20" s="92">
        <f t="shared" si="25"/>
        <v>4160362406</v>
      </c>
      <c r="Z20" s="92">
        <f t="shared" si="25"/>
        <v>13415257004</v>
      </c>
      <c r="AA20" s="92">
        <f t="shared" si="25"/>
        <v>5994229142</v>
      </c>
      <c r="AB20" s="92">
        <f t="shared" si="25"/>
        <v>23583907868</v>
      </c>
      <c r="AC20" s="92">
        <f t="shared" si="25"/>
        <v>49501335536</v>
      </c>
      <c r="AD20" s="92">
        <f t="shared" si="25"/>
        <v>198415201720</v>
      </c>
      <c r="AE20" s="86">
        <f t="shared" ref="AE20:AF20" si="26">AC20/C20</f>
        <v>0.73882590352238808</v>
      </c>
      <c r="AF20" s="86">
        <f t="shared" si="26"/>
        <v>0.85156738935622323</v>
      </c>
      <c r="AG20" s="38"/>
      <c r="AH20" s="78"/>
      <c r="AI20" s="18"/>
      <c r="AJ20" s="118"/>
    </row>
    <row r="21" spans="1:36" ht="15.75" customHeight="1">
      <c r="A21" s="119"/>
      <c r="B21" s="120"/>
      <c r="C21" s="120"/>
      <c r="D21" s="121"/>
      <c r="E21" s="122"/>
      <c r="F21" s="122"/>
      <c r="G21" s="122"/>
      <c r="H21" s="122"/>
      <c r="I21" s="122"/>
      <c r="J21" s="122"/>
      <c r="K21" s="123"/>
      <c r="L21" s="121"/>
      <c r="M21" s="122"/>
      <c r="N21" s="124"/>
      <c r="O21" s="122"/>
      <c r="P21" s="124"/>
      <c r="Q21" s="122"/>
      <c r="R21" s="124"/>
      <c r="S21" s="120"/>
      <c r="U21" s="120"/>
      <c r="V21" s="120"/>
      <c r="W21" s="120"/>
      <c r="X21" s="120"/>
      <c r="Y21" s="120"/>
      <c r="Z21" s="120"/>
      <c r="AA21" s="120"/>
      <c r="AB21" s="120"/>
      <c r="AC21" s="125"/>
      <c r="AD21" s="126"/>
      <c r="AE21" s="127"/>
      <c r="AF21" s="120"/>
      <c r="AG21" s="38"/>
      <c r="AH21" s="78"/>
      <c r="AI21" s="128"/>
      <c r="AJ21" s="118"/>
    </row>
    <row r="22" spans="1:36" ht="15.75" customHeight="1">
      <c r="A22" s="123"/>
      <c r="B22" s="123"/>
      <c r="C22" s="123"/>
      <c r="D22" s="123"/>
      <c r="E22" s="123"/>
      <c r="F22" s="129"/>
      <c r="G22" s="123"/>
      <c r="H22" s="129"/>
      <c r="I22" s="123"/>
      <c r="J22" s="129"/>
      <c r="K22" s="123"/>
      <c r="L22" s="129"/>
      <c r="M22" s="123"/>
      <c r="N22" s="129"/>
      <c r="O22" s="123"/>
      <c r="P22" s="129"/>
      <c r="Q22" s="123"/>
      <c r="R22" s="129"/>
      <c r="S22" s="123"/>
      <c r="T22" s="129"/>
      <c r="U22" s="123"/>
      <c r="V22" s="129"/>
      <c r="W22" s="34">
        <f>W20+X20</f>
        <v>18864427256</v>
      </c>
      <c r="X22" s="130"/>
      <c r="Y22" s="34">
        <f>Y20+Z20</f>
        <v>17575619410</v>
      </c>
      <c r="Z22" s="131"/>
      <c r="AA22" s="34">
        <f>AA20+AB20</f>
        <v>29578137010</v>
      </c>
      <c r="AB22" s="132"/>
      <c r="AC22" s="34">
        <f>AC20+AD20</f>
        <v>247916537256</v>
      </c>
      <c r="AD22" s="18"/>
      <c r="AE22" s="133"/>
      <c r="AF22" s="123"/>
      <c r="AG22" s="18"/>
      <c r="AH22" s="78"/>
      <c r="AI22" s="118"/>
      <c r="AJ22" s="118"/>
    </row>
    <row r="23" spans="1:36" ht="15.75" customHeight="1">
      <c r="A23" s="123"/>
      <c r="B23" s="123"/>
      <c r="C23" s="123"/>
      <c r="D23" s="123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3"/>
      <c r="T23" s="124"/>
      <c r="U23" s="123"/>
      <c r="V23" s="124"/>
      <c r="W23" s="134"/>
      <c r="X23" s="124"/>
      <c r="Y23" s="135"/>
      <c r="Z23" s="124"/>
      <c r="AA23" s="32"/>
      <c r="AB23" s="34"/>
      <c r="AC23" s="18"/>
      <c r="AD23" s="18"/>
      <c r="AE23" s="18"/>
      <c r="AF23" s="18"/>
      <c r="AH23" s="78"/>
      <c r="AI23" s="118"/>
      <c r="AJ23" s="118"/>
    </row>
    <row r="24" spans="1:36" ht="15.75" customHeight="1">
      <c r="A24" s="123"/>
      <c r="B24" s="123"/>
      <c r="C24" s="123"/>
      <c r="D24" s="123"/>
      <c r="E24" s="32"/>
      <c r="G24" s="32"/>
      <c r="H24" s="18"/>
      <c r="I24" s="18"/>
      <c r="J24" s="18"/>
      <c r="K24" s="32"/>
      <c r="L24" s="18"/>
      <c r="N24" s="124"/>
      <c r="P24" s="136"/>
      <c r="R24" s="136"/>
      <c r="T24" s="136"/>
      <c r="U24" s="137"/>
      <c r="V24" s="138"/>
      <c r="W24" s="138"/>
      <c r="X24" s="138"/>
      <c r="Y24" s="18"/>
      <c r="Z24" s="139"/>
      <c r="AA24" s="32"/>
      <c r="AB24" s="138"/>
      <c r="AC24" s="32"/>
      <c r="AD24" s="124"/>
      <c r="AE24" s="123"/>
      <c r="AF24" s="123"/>
      <c r="AH24" s="78"/>
      <c r="AI24" s="118"/>
      <c r="AJ24" s="118"/>
    </row>
    <row r="25" spans="1:36" ht="15.75" customHeight="1">
      <c r="A25" s="123"/>
      <c r="B25" s="123"/>
      <c r="C25" s="123"/>
      <c r="E25" s="123"/>
      <c r="F25" s="129"/>
      <c r="G25" s="123"/>
      <c r="H25" s="129"/>
      <c r="I25" s="123"/>
      <c r="J25" s="140"/>
      <c r="K25" s="123"/>
      <c r="L25" s="18"/>
      <c r="M25" s="123"/>
      <c r="N25" s="129"/>
      <c r="O25" s="123"/>
      <c r="P25" s="129"/>
      <c r="Q25" s="123"/>
      <c r="R25" s="129"/>
      <c r="S25" s="123"/>
      <c r="T25" s="126"/>
      <c r="U25" s="138"/>
      <c r="W25" s="138"/>
      <c r="X25" s="32"/>
      <c r="Y25" s="134"/>
      <c r="Z25" s="138"/>
      <c r="AA25" s="125"/>
      <c r="AB25" s="138"/>
      <c r="AC25" s="32"/>
      <c r="AD25" s="141"/>
      <c r="AE25" s="142"/>
      <c r="AF25" s="123"/>
      <c r="AI25" s="118"/>
      <c r="AJ25" s="118"/>
    </row>
    <row r="26" spans="1:36" ht="15.75" customHeight="1">
      <c r="A26" s="123"/>
      <c r="B26" s="123"/>
      <c r="C26" s="123"/>
      <c r="D26" s="143"/>
      <c r="E26" s="123"/>
      <c r="F26" s="144"/>
      <c r="G26" s="123"/>
      <c r="H26" s="123"/>
      <c r="I26" s="123"/>
      <c r="J26" s="132"/>
      <c r="K26" s="32"/>
      <c r="L26" s="136"/>
      <c r="M26" s="123"/>
      <c r="N26" s="123"/>
      <c r="O26" s="123"/>
      <c r="P26" s="123"/>
      <c r="Q26" s="123"/>
      <c r="R26" s="123"/>
      <c r="S26" s="123"/>
      <c r="T26" s="145"/>
      <c r="U26" s="134"/>
      <c r="V26" s="146"/>
      <c r="W26" s="138"/>
      <c r="X26" s="134"/>
      <c r="Y26" s="134"/>
      <c r="Z26" s="136"/>
      <c r="AA26" s="147"/>
      <c r="AB26" s="134"/>
      <c r="AD26" s="123"/>
      <c r="AE26" s="123"/>
      <c r="AF26" s="123"/>
    </row>
    <row r="27" spans="1:36" ht="15.75" customHeight="1">
      <c r="A27" s="123"/>
      <c r="B27" s="148"/>
      <c r="C27" s="123"/>
      <c r="D27" s="143"/>
      <c r="E27" s="123"/>
      <c r="F27" s="33"/>
      <c r="G27" s="123"/>
      <c r="H27" s="144"/>
      <c r="I27" s="123"/>
      <c r="J27" s="132"/>
      <c r="K27" s="149"/>
      <c r="L27" s="150"/>
      <c r="M27" s="142"/>
      <c r="N27" s="142"/>
      <c r="O27" s="151"/>
      <c r="P27" s="141"/>
      <c r="Q27" s="141"/>
      <c r="R27" s="141"/>
      <c r="S27" s="137"/>
      <c r="T27" s="145"/>
      <c r="U27" s="138"/>
      <c r="V27" s="126"/>
      <c r="W27" s="138"/>
      <c r="X27" s="134"/>
      <c r="Y27" s="134"/>
      <c r="Z27" s="152"/>
      <c r="AA27" s="147"/>
      <c r="AB27" s="138"/>
      <c r="AC27" s="134"/>
      <c r="AD27" s="129"/>
      <c r="AE27" s="123"/>
      <c r="AF27" s="142"/>
      <c r="AG27" s="118"/>
      <c r="AH27" s="118"/>
      <c r="AI27" s="118"/>
    </row>
    <row r="28" spans="1:36" ht="15.75" customHeight="1">
      <c r="A28" s="123"/>
      <c r="B28" s="148"/>
      <c r="C28" s="123"/>
      <c r="D28" s="143"/>
      <c r="E28" s="123"/>
      <c r="F28" s="33"/>
      <c r="G28" s="123"/>
      <c r="H28" s="144"/>
      <c r="I28" s="123"/>
      <c r="J28" s="132"/>
      <c r="K28" s="149"/>
      <c r="L28" s="150"/>
      <c r="M28" s="142"/>
      <c r="N28" s="142"/>
      <c r="O28" s="142"/>
      <c r="P28" s="142"/>
      <c r="Q28" s="141"/>
      <c r="R28" s="124"/>
      <c r="S28" s="143"/>
      <c r="T28" s="145"/>
      <c r="U28" s="134"/>
      <c r="V28" s="153"/>
      <c r="W28" s="146"/>
      <c r="X28" s="134"/>
      <c r="Y28" s="134"/>
      <c r="Z28" s="138"/>
      <c r="AA28" s="147"/>
      <c r="AB28" s="138"/>
      <c r="AC28" s="134"/>
      <c r="AD28" s="142"/>
      <c r="AE28" s="142"/>
      <c r="AF28" s="142"/>
      <c r="AG28" s="118"/>
      <c r="AH28" s="118"/>
      <c r="AI28" s="118"/>
    </row>
    <row r="29" spans="1:36" ht="15.75" customHeight="1">
      <c r="A29" s="123"/>
      <c r="B29" s="148"/>
      <c r="C29" s="123"/>
      <c r="D29" s="123"/>
      <c r="E29" s="123"/>
      <c r="G29" s="123"/>
      <c r="H29" s="144"/>
      <c r="I29" s="123"/>
      <c r="J29" s="132"/>
      <c r="K29" s="149"/>
      <c r="L29" s="150"/>
      <c r="M29" s="142"/>
      <c r="N29" s="142"/>
      <c r="O29" s="154"/>
      <c r="P29" s="129"/>
      <c r="Q29" s="142"/>
      <c r="R29" s="143"/>
      <c r="S29" s="143"/>
      <c r="T29" s="145"/>
      <c r="U29" s="134"/>
      <c r="V29" s="126"/>
      <c r="W29" s="146"/>
      <c r="X29" s="134"/>
      <c r="Y29" s="138"/>
      <c r="Z29" s="145"/>
      <c r="AA29" s="147"/>
      <c r="AB29" s="134"/>
      <c r="AC29" s="134"/>
      <c r="AD29" s="142"/>
      <c r="AE29" s="142"/>
      <c r="AF29" s="142"/>
      <c r="AG29" s="118"/>
      <c r="AH29" s="118"/>
      <c r="AI29" s="118"/>
    </row>
    <row r="30" spans="1:36" ht="15.75" customHeight="1">
      <c r="A30" s="123"/>
      <c r="B30" s="148"/>
      <c r="C30" s="123"/>
      <c r="D30" s="123"/>
      <c r="E30" s="123"/>
      <c r="F30" s="33"/>
      <c r="G30" s="123"/>
      <c r="H30" s="144"/>
      <c r="I30" s="123"/>
      <c r="J30" s="132"/>
      <c r="K30" s="149"/>
      <c r="L30" s="150"/>
      <c r="M30" s="123"/>
      <c r="N30" s="123"/>
      <c r="O30" s="123"/>
      <c r="P30" s="123"/>
      <c r="Q30" s="123"/>
      <c r="R30" s="143"/>
      <c r="S30" s="143"/>
      <c r="T30" s="145"/>
      <c r="U30" s="143"/>
      <c r="V30" s="132"/>
      <c r="W30" s="155"/>
      <c r="X30" s="143"/>
      <c r="Z30" s="143"/>
      <c r="AA30" s="156"/>
      <c r="AB30" s="143"/>
      <c r="AC30" s="143"/>
      <c r="AD30" s="123"/>
      <c r="AE30" s="123"/>
      <c r="AF30" s="123"/>
    </row>
    <row r="31" spans="1:36" ht="15.75" customHeight="1">
      <c r="A31" s="123"/>
      <c r="B31" s="148"/>
      <c r="C31" s="123"/>
      <c r="D31" s="123"/>
      <c r="E31" s="123"/>
      <c r="F31" s="33"/>
      <c r="H31" s="144"/>
      <c r="I31" s="123"/>
      <c r="J31" s="132"/>
      <c r="K31" s="149"/>
      <c r="L31" s="150"/>
      <c r="M31" s="123"/>
      <c r="N31" s="123"/>
      <c r="O31" s="123"/>
      <c r="P31" s="123"/>
      <c r="Q31" s="123"/>
      <c r="R31" s="143"/>
      <c r="S31" s="143"/>
      <c r="T31" s="123"/>
      <c r="U31" s="143"/>
      <c r="W31" s="155"/>
      <c r="X31" s="123"/>
      <c r="Y31" s="157"/>
      <c r="AA31" s="158"/>
      <c r="AB31" s="123"/>
      <c r="AC31" s="123"/>
      <c r="AD31" s="123"/>
      <c r="AE31" s="123"/>
      <c r="AF31" s="123"/>
    </row>
    <row r="32" spans="1:36" ht="15.75" customHeight="1">
      <c r="A32" s="123"/>
      <c r="B32" s="159"/>
      <c r="C32" s="123"/>
      <c r="D32" s="123"/>
      <c r="E32" s="123"/>
      <c r="F32" s="33"/>
      <c r="G32" s="123"/>
      <c r="H32" s="144"/>
      <c r="I32" s="123"/>
      <c r="K32" s="160"/>
      <c r="L32" s="123"/>
      <c r="M32" s="123"/>
      <c r="N32" s="123"/>
      <c r="O32" s="123"/>
      <c r="P32" s="123"/>
      <c r="Q32" s="123"/>
      <c r="R32" s="143"/>
      <c r="S32" s="132"/>
      <c r="T32" s="123"/>
      <c r="V32" s="132"/>
      <c r="W32" s="155"/>
      <c r="X32" s="34"/>
      <c r="Y32" s="143"/>
      <c r="Z32" s="123"/>
      <c r="AA32" s="158"/>
      <c r="AB32" s="123"/>
      <c r="AC32" s="123"/>
      <c r="AD32" s="123"/>
      <c r="AE32" s="123"/>
      <c r="AF32" s="123"/>
    </row>
    <row r="33" spans="6:27" ht="15.75" customHeight="1">
      <c r="F33" s="33"/>
      <c r="K33" s="161"/>
      <c r="P33" s="161"/>
      <c r="R33" s="143"/>
      <c r="S33" s="126"/>
      <c r="V33" s="126"/>
      <c r="Y33" s="143"/>
      <c r="AA33" s="32"/>
    </row>
    <row r="34" spans="6:27" ht="15.75" customHeight="1">
      <c r="S34" s="126"/>
      <c r="V34" s="126"/>
      <c r="Y34" s="156"/>
      <c r="AA34" s="32"/>
    </row>
    <row r="35" spans="6:27" ht="15.75" customHeight="1">
      <c r="V35" s="126"/>
      <c r="Y35" s="156"/>
      <c r="AA35" s="32"/>
    </row>
    <row r="36" spans="6:27" ht="15.75" customHeight="1">
      <c r="Y36" s="156"/>
      <c r="AA36" s="32"/>
    </row>
    <row r="37" spans="6:27" ht="15.75" customHeight="1">
      <c r="Y37" s="32"/>
      <c r="AA37" s="32"/>
    </row>
    <row r="38" spans="6:27" ht="15.75" customHeight="1">
      <c r="Y38" s="32"/>
      <c r="AA38" s="32"/>
    </row>
    <row r="39" spans="6:27" ht="15.75" customHeight="1">
      <c r="Y39" s="32"/>
      <c r="AA39" s="32"/>
    </row>
    <row r="40" spans="6:27" ht="15.75" customHeight="1">
      <c r="Y40" s="32"/>
      <c r="AA40" s="32"/>
    </row>
    <row r="41" spans="6:27" ht="15.75" customHeight="1">
      <c r="Y41" s="32"/>
      <c r="AA41" s="32"/>
    </row>
    <row r="42" spans="6:27" ht="15.75" customHeight="1">
      <c r="J42" s="162"/>
      <c r="K42" s="163"/>
      <c r="L42" s="163"/>
      <c r="Y42" s="32"/>
      <c r="AA42" s="32"/>
    </row>
    <row r="43" spans="6:27" ht="15.75" customHeight="1">
      <c r="J43" s="162"/>
      <c r="K43" s="163"/>
      <c r="L43" s="163"/>
      <c r="Y43" s="32"/>
    </row>
    <row r="44" spans="6:27" ht="15.75" customHeight="1">
      <c r="J44" s="162"/>
      <c r="K44" s="163"/>
      <c r="L44" s="163"/>
      <c r="Y44" s="32"/>
    </row>
    <row r="45" spans="6:27" ht="15.75" customHeight="1">
      <c r="J45" s="162"/>
      <c r="K45" s="164"/>
      <c r="L45" s="163"/>
      <c r="Y45" s="32"/>
    </row>
    <row r="46" spans="6:27" ht="15.75" customHeight="1">
      <c r="J46" s="162"/>
      <c r="K46" s="163"/>
      <c r="L46" s="163"/>
      <c r="Y46" s="32"/>
    </row>
    <row r="47" spans="6:27" ht="15.75" customHeight="1">
      <c r="J47" s="162"/>
      <c r="K47" s="163"/>
      <c r="L47" s="163"/>
      <c r="Y47" s="32"/>
    </row>
    <row r="48" spans="6:27" ht="15.75" customHeight="1">
      <c r="J48" s="165"/>
      <c r="K48" s="166"/>
      <c r="L48" s="166"/>
      <c r="Y48" s="32"/>
    </row>
    <row r="49" spans="10:25" ht="15.75" customHeight="1">
      <c r="J49" s="165"/>
      <c r="K49" s="166"/>
      <c r="L49" s="166"/>
      <c r="Y49" s="32"/>
    </row>
    <row r="50" spans="10:25" ht="15.75" customHeight="1">
      <c r="J50" s="165"/>
      <c r="K50" s="163"/>
      <c r="L50" s="163"/>
      <c r="Y50" s="32"/>
    </row>
    <row r="51" spans="10:25" ht="15.75" customHeight="1">
      <c r="J51" s="162"/>
      <c r="K51" s="163"/>
      <c r="L51" s="164"/>
      <c r="Y51" s="32"/>
    </row>
    <row r="52" spans="10:25" ht="15.75" customHeight="1">
      <c r="J52" s="162"/>
      <c r="K52" s="163"/>
      <c r="L52" s="163"/>
      <c r="Y52" s="32"/>
    </row>
    <row r="53" spans="10:25" ht="15.75" customHeight="1">
      <c r="J53" s="162"/>
      <c r="K53" s="163"/>
      <c r="L53" s="163"/>
      <c r="Y53" s="32"/>
    </row>
    <row r="54" spans="10:25" ht="15.75" customHeight="1">
      <c r="J54" s="162"/>
      <c r="K54" s="163"/>
      <c r="L54" s="163"/>
      <c r="Y54" s="32"/>
    </row>
    <row r="55" spans="10:25" ht="15.75" customHeight="1">
      <c r="Y55" s="32"/>
    </row>
    <row r="56" spans="10:25" ht="15.75" customHeight="1">
      <c r="Y56" s="32"/>
    </row>
    <row r="57" spans="10:25" ht="15.75" customHeight="1">
      <c r="Y57" s="32"/>
    </row>
    <row r="58" spans="10:25" ht="15.75" customHeight="1">
      <c r="Y58" s="32"/>
    </row>
    <row r="59" spans="10:25" ht="15.75" customHeight="1">
      <c r="Y59" s="32"/>
    </row>
    <row r="60" spans="10:25" ht="15.75" customHeight="1">
      <c r="Y60" s="32"/>
    </row>
    <row r="61" spans="10:25" ht="15.75" customHeight="1">
      <c r="Y61" s="32"/>
    </row>
    <row r="62" spans="10:25" ht="15.75" customHeight="1">
      <c r="Y62" s="32"/>
    </row>
    <row r="63" spans="10:25" ht="15.75" customHeight="1">
      <c r="Y63" s="32"/>
    </row>
    <row r="64" spans="10:25" ht="15.75" customHeight="1">
      <c r="Y64" s="32"/>
    </row>
    <row r="65" spans="25:25" ht="15.75" customHeight="1">
      <c r="Y65" s="32"/>
    </row>
    <row r="66" spans="25:25" ht="15.75" customHeight="1">
      <c r="Y66" s="32"/>
    </row>
    <row r="67" spans="25:25" ht="15.75" customHeight="1"/>
    <row r="68" spans="25:25" ht="15.75" customHeight="1"/>
    <row r="69" spans="25:25" ht="15.75" customHeight="1"/>
    <row r="70" spans="25:25" ht="15.75" customHeight="1"/>
    <row r="71" spans="25:25" ht="15.75" customHeight="1"/>
    <row r="72" spans="25:25" ht="15.75" customHeight="1"/>
    <row r="73" spans="25:25" ht="15.75" customHeight="1"/>
    <row r="74" spans="25:25" ht="15.75" customHeight="1"/>
    <row r="75" spans="25:25" ht="15.75" customHeight="1"/>
    <row r="76" spans="25:25" ht="15.75" customHeight="1"/>
    <row r="77" spans="25:25" ht="15.75" customHeight="1"/>
    <row r="78" spans="25:25" ht="15.75" customHeight="1"/>
    <row r="79" spans="25:25" ht="15.75" customHeight="1"/>
    <row r="80" spans="25:2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A2"/>
    <mergeCell ref="B1:B2"/>
    <mergeCell ref="C1:D1"/>
    <mergeCell ref="E1:F1"/>
    <mergeCell ref="G1:H1"/>
    <mergeCell ref="I1:J1"/>
    <mergeCell ref="K1:L1"/>
    <mergeCell ref="AA1:AB1"/>
    <mergeCell ref="AC1:AD1"/>
    <mergeCell ref="AE1:AF1"/>
    <mergeCell ref="M1:N1"/>
    <mergeCell ref="O1:P1"/>
    <mergeCell ref="Q1:R1"/>
    <mergeCell ref="S1:T1"/>
    <mergeCell ref="U1:V1"/>
    <mergeCell ref="W1:X1"/>
    <mergeCell ref="Y1:Z1"/>
  </mergeCells>
  <pageMargins left="0.25650916104146582" right="0.47251687560270011" top="1" bottom="1" header="0" footer="0"/>
  <pageSetup paperSize="5" scale="3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00"/>
  <sheetViews>
    <sheetView workbookViewId="0">
      <pane xSplit="3" topLeftCell="D1" activePane="topRight" state="frozen"/>
      <selection pane="topRight" activeCell="F6" sqref="F6"/>
    </sheetView>
  </sheetViews>
  <sheetFormatPr defaultColWidth="14.453125" defaultRowHeight="15" customHeight="1"/>
  <cols>
    <col min="1" max="1" width="5.08984375" customWidth="1"/>
    <col min="2" max="2" width="28.08984375" customWidth="1"/>
    <col min="3" max="4" width="22.54296875" customWidth="1"/>
    <col min="5" max="5" width="10" customWidth="1"/>
    <col min="6" max="6" width="21.54296875" customWidth="1"/>
    <col min="7" max="7" width="9.54296875" customWidth="1"/>
    <col min="8" max="8" width="22.08984375" customWidth="1"/>
    <col min="9" max="9" width="15.08984375" customWidth="1"/>
    <col min="10" max="10" width="22.26953125" customWidth="1"/>
    <col min="11" max="11" width="14.54296875" customWidth="1"/>
    <col min="12" max="12" width="8.7265625" customWidth="1"/>
    <col min="13" max="13" width="25.81640625" customWidth="1"/>
    <col min="14" max="14" width="17.7265625" customWidth="1"/>
    <col min="15" max="24" width="8.7265625" customWidth="1"/>
  </cols>
  <sheetData>
    <row r="2" spans="1:13" ht="14.5">
      <c r="A2" s="167"/>
      <c r="B2" s="168"/>
      <c r="C2" s="168"/>
      <c r="D2" s="168"/>
      <c r="E2" s="168"/>
      <c r="F2" s="168"/>
      <c r="G2" s="168"/>
      <c r="I2" s="79"/>
      <c r="J2" s="169"/>
    </row>
    <row r="3" spans="1:13" ht="24.75" customHeight="1">
      <c r="A3" s="170" t="s">
        <v>57</v>
      </c>
      <c r="B3" s="171"/>
      <c r="C3" s="171"/>
      <c r="D3" s="9"/>
      <c r="E3" s="171"/>
      <c r="F3" s="171"/>
      <c r="G3" s="171"/>
      <c r="H3" s="171"/>
      <c r="I3" s="172"/>
    </row>
    <row r="4" spans="1:13" ht="33" customHeight="1">
      <c r="A4" s="173" t="s">
        <v>1</v>
      </c>
      <c r="B4" s="174" t="s">
        <v>39</v>
      </c>
      <c r="C4" s="175" t="s">
        <v>58</v>
      </c>
      <c r="D4" s="175" t="s">
        <v>4</v>
      </c>
      <c r="E4" s="176" t="s">
        <v>59</v>
      </c>
      <c r="F4" s="175" t="s">
        <v>5</v>
      </c>
      <c r="G4" s="176" t="s">
        <v>59</v>
      </c>
      <c r="H4" s="177" t="s">
        <v>60</v>
      </c>
      <c r="I4" s="178" t="s">
        <v>61</v>
      </c>
      <c r="J4" s="179" t="s">
        <v>62</v>
      </c>
      <c r="K4" s="179" t="s">
        <v>61</v>
      </c>
    </row>
    <row r="5" spans="1:13" ht="33" customHeight="1">
      <c r="A5" s="180">
        <v>1</v>
      </c>
      <c r="B5" s="178" t="s">
        <v>63</v>
      </c>
      <c r="C5" s="181">
        <f t="shared" ref="C5:C11" si="0">D5+F5</f>
        <v>54286335537</v>
      </c>
      <c r="D5" s="182">
        <v>19112648567</v>
      </c>
      <c r="E5" s="176">
        <f t="shared" ref="E5:E12" si="1">D5/C5</f>
        <v>0.35207107604405108</v>
      </c>
      <c r="F5" s="183">
        <v>35173686970</v>
      </c>
      <c r="G5" s="176">
        <f t="shared" ref="G5:G12" si="2">F5/C5</f>
        <v>0.64792892395594892</v>
      </c>
      <c r="H5" s="184">
        <v>67000000000</v>
      </c>
      <c r="I5" s="185">
        <f t="shared" ref="I5:I12" si="3">C5/H5</f>
        <v>0.81024381398507461</v>
      </c>
      <c r="J5" s="74">
        <v>53358367460</v>
      </c>
      <c r="K5" s="77">
        <f t="shared" ref="K5:K12" si="4">C5/J5</f>
        <v>1.017391238172638</v>
      </c>
      <c r="M5" s="16"/>
    </row>
    <row r="6" spans="1:13" ht="33" customHeight="1">
      <c r="A6" s="180">
        <v>2</v>
      </c>
      <c r="B6" s="178" t="s">
        <v>64</v>
      </c>
      <c r="C6" s="181">
        <f t="shared" si="0"/>
        <v>23310821769</v>
      </c>
      <c r="D6" s="182">
        <v>14764730047</v>
      </c>
      <c r="E6" s="176">
        <f t="shared" si="1"/>
        <v>0.63338522310847667</v>
      </c>
      <c r="F6" s="183">
        <v>8546091722</v>
      </c>
      <c r="G6" s="176">
        <f t="shared" si="2"/>
        <v>0.36661477689152333</v>
      </c>
      <c r="H6" s="184">
        <v>28000000000</v>
      </c>
      <c r="I6" s="185">
        <f t="shared" si="3"/>
        <v>0.83252934889285712</v>
      </c>
      <c r="J6" s="74">
        <v>25755347825</v>
      </c>
      <c r="K6" s="77">
        <f t="shared" si="4"/>
        <v>0.90508666112335834</v>
      </c>
      <c r="M6" s="121"/>
    </row>
    <row r="7" spans="1:13" ht="33" customHeight="1">
      <c r="A7" s="180">
        <v>3</v>
      </c>
      <c r="B7" s="178" t="s">
        <v>65</v>
      </c>
      <c r="C7" s="181">
        <f t="shared" si="0"/>
        <v>25759690358</v>
      </c>
      <c r="D7" s="182">
        <v>14729756450</v>
      </c>
      <c r="E7" s="176">
        <f t="shared" si="1"/>
        <v>0.57181418896308611</v>
      </c>
      <c r="F7" s="183">
        <v>11029933908</v>
      </c>
      <c r="G7" s="176">
        <f t="shared" si="2"/>
        <v>0.42818581103691389</v>
      </c>
      <c r="H7" s="184">
        <v>27000000000</v>
      </c>
      <c r="I7" s="185">
        <f t="shared" si="3"/>
        <v>0.95406260585185187</v>
      </c>
      <c r="J7" s="74">
        <v>23579612087</v>
      </c>
      <c r="K7" s="77">
        <f t="shared" si="4"/>
        <v>1.0924560702252575</v>
      </c>
      <c r="M7" s="121"/>
    </row>
    <row r="8" spans="1:13" ht="33" customHeight="1">
      <c r="A8" s="180">
        <v>4</v>
      </c>
      <c r="B8" s="178" t="s">
        <v>66</v>
      </c>
      <c r="C8" s="181">
        <f t="shared" si="0"/>
        <v>31143230674</v>
      </c>
      <c r="D8" s="182">
        <v>21374321231</v>
      </c>
      <c r="E8" s="176">
        <f t="shared" si="1"/>
        <v>0.68632318383218993</v>
      </c>
      <c r="F8" s="183">
        <v>9768909443</v>
      </c>
      <c r="G8" s="176">
        <f t="shared" si="2"/>
        <v>0.31367681616781001</v>
      </c>
      <c r="H8" s="184">
        <v>41000000000</v>
      </c>
      <c r="I8" s="185">
        <f t="shared" si="3"/>
        <v>0.75959099204878044</v>
      </c>
      <c r="J8" s="74">
        <v>31006566400</v>
      </c>
      <c r="K8" s="77">
        <f t="shared" si="4"/>
        <v>1.0044075913545849</v>
      </c>
      <c r="M8" s="121"/>
    </row>
    <row r="9" spans="1:13" ht="33" customHeight="1">
      <c r="A9" s="180">
        <v>5</v>
      </c>
      <c r="B9" s="178" t="s">
        <v>67</v>
      </c>
      <c r="C9" s="181">
        <f t="shared" si="0"/>
        <v>52544708429</v>
      </c>
      <c r="D9" s="182">
        <v>33476484170</v>
      </c>
      <c r="E9" s="176">
        <f t="shared" si="1"/>
        <v>0.63710476603432753</v>
      </c>
      <c r="F9" s="186">
        <v>19068224259</v>
      </c>
      <c r="G9" s="176">
        <f t="shared" si="2"/>
        <v>0.36289523396567253</v>
      </c>
      <c r="H9" s="184">
        <v>70000000000</v>
      </c>
      <c r="I9" s="185">
        <f t="shared" si="3"/>
        <v>0.75063869184285714</v>
      </c>
      <c r="J9" s="74">
        <v>54491858323</v>
      </c>
      <c r="K9" s="77">
        <f t="shared" si="4"/>
        <v>0.96426714092849819</v>
      </c>
      <c r="M9" s="187"/>
    </row>
    <row r="10" spans="1:13" ht="33" customHeight="1">
      <c r="A10" s="180">
        <v>6</v>
      </c>
      <c r="B10" s="178" t="s">
        <v>68</v>
      </c>
      <c r="C10" s="181">
        <f t="shared" si="0"/>
        <v>61922474676</v>
      </c>
      <c r="D10" s="182">
        <v>35715649417</v>
      </c>
      <c r="E10" s="176">
        <f t="shared" si="1"/>
        <v>0.57678007224156891</v>
      </c>
      <c r="F10" s="183">
        <v>26206825259</v>
      </c>
      <c r="G10" s="176">
        <f t="shared" si="2"/>
        <v>0.42321992775843109</v>
      </c>
      <c r="H10" s="184">
        <v>63000000000</v>
      </c>
      <c r="I10" s="185">
        <f t="shared" si="3"/>
        <v>0.98289642342857142</v>
      </c>
      <c r="J10" s="74">
        <v>57056798896</v>
      </c>
      <c r="K10" s="77">
        <f t="shared" si="4"/>
        <v>1.0852777560982503</v>
      </c>
      <c r="M10" s="121"/>
    </row>
    <row r="11" spans="1:13" ht="33" customHeight="1">
      <c r="A11" s="180">
        <v>7</v>
      </c>
      <c r="B11" s="178" t="s">
        <v>69</v>
      </c>
      <c r="C11" s="181">
        <f t="shared" si="0"/>
        <v>2743377725</v>
      </c>
      <c r="D11" s="182">
        <v>2150962248</v>
      </c>
      <c r="E11" s="176">
        <f t="shared" si="1"/>
        <v>0.78405617585890397</v>
      </c>
      <c r="F11" s="183">
        <v>592415477</v>
      </c>
      <c r="G11" s="176">
        <f t="shared" si="2"/>
        <v>0.215943824141096</v>
      </c>
      <c r="H11" s="184">
        <v>4000000000</v>
      </c>
      <c r="I11" s="185">
        <f t="shared" si="3"/>
        <v>0.68584443125000005</v>
      </c>
      <c r="J11" s="74">
        <v>2865230013</v>
      </c>
      <c r="K11" s="77">
        <f t="shared" si="4"/>
        <v>0.95747207468610307</v>
      </c>
      <c r="M11" s="121"/>
    </row>
    <row r="12" spans="1:13" ht="33" customHeight="1">
      <c r="A12" s="188"/>
      <c r="B12" s="178" t="s">
        <v>70</v>
      </c>
      <c r="C12" s="189">
        <f t="shared" ref="C12:D12" si="5">SUM(C5:C11)</f>
        <v>251710639168</v>
      </c>
      <c r="D12" s="190">
        <f t="shared" si="5"/>
        <v>141324552130</v>
      </c>
      <c r="E12" s="176">
        <f t="shared" si="1"/>
        <v>0.56145641120745526</v>
      </c>
      <c r="F12" s="189">
        <f>SUM(F5:F11)</f>
        <v>110386087038</v>
      </c>
      <c r="G12" s="176">
        <f t="shared" si="2"/>
        <v>0.43854358879254474</v>
      </c>
      <c r="H12" s="191">
        <f>SUM(H5:H11)</f>
        <v>300000000000</v>
      </c>
      <c r="I12" s="192">
        <f t="shared" si="3"/>
        <v>0.83903546389333339</v>
      </c>
      <c r="J12" s="193">
        <f>SUM(J5:J11)</f>
        <v>248113781004</v>
      </c>
      <c r="K12" s="77">
        <f t="shared" si="4"/>
        <v>1.014496809284213</v>
      </c>
      <c r="M12" s="194"/>
    </row>
    <row r="13" spans="1:13" ht="14.5">
      <c r="A13" s="168"/>
      <c r="B13" s="168"/>
      <c r="C13" s="138"/>
      <c r="D13" s="126"/>
      <c r="E13" s="168"/>
      <c r="F13" s="168"/>
      <c r="G13" s="168"/>
      <c r="I13" s="32"/>
    </row>
    <row r="14" spans="1:13" ht="14.5">
      <c r="A14" s="168"/>
      <c r="B14" s="195"/>
      <c r="D14" s="126"/>
      <c r="E14" s="196"/>
      <c r="F14" s="18"/>
      <c r="G14" s="196"/>
      <c r="H14" s="36"/>
      <c r="I14" s="197"/>
      <c r="J14" s="36"/>
      <c r="K14" s="36"/>
    </row>
    <row r="15" spans="1:13" ht="14.5">
      <c r="C15" s="135"/>
      <c r="E15" s="36"/>
      <c r="F15" s="198"/>
      <c r="G15" s="36"/>
      <c r="H15" s="36"/>
      <c r="I15" s="199"/>
      <c r="J15" s="36"/>
      <c r="K15" s="36"/>
    </row>
    <row r="16" spans="1:13" ht="41">
      <c r="B16" s="200"/>
      <c r="D16" s="201"/>
      <c r="E16" s="36"/>
      <c r="F16" s="202"/>
      <c r="G16" s="36"/>
      <c r="H16" s="36"/>
      <c r="I16" s="36"/>
      <c r="J16" s="36"/>
      <c r="K16" s="36"/>
    </row>
    <row r="17" spans="3:11" ht="14.5">
      <c r="C17" s="18"/>
      <c r="D17" s="36"/>
      <c r="E17" s="36"/>
      <c r="F17" s="202"/>
      <c r="G17" s="36"/>
      <c r="H17" s="36"/>
      <c r="I17" s="199"/>
      <c r="J17" s="36"/>
      <c r="K17" s="36"/>
    </row>
    <row r="18" spans="3:11" ht="14.5">
      <c r="C18" s="203"/>
      <c r="D18" s="36"/>
      <c r="E18" s="36"/>
      <c r="F18" s="202"/>
      <c r="G18" s="36"/>
      <c r="H18" s="36"/>
      <c r="I18" s="36"/>
      <c r="J18" s="36"/>
      <c r="K18" s="36"/>
    </row>
    <row r="19" spans="3:11" ht="14.5">
      <c r="C19" s="155"/>
      <c r="D19" s="36"/>
      <c r="F19" s="202"/>
      <c r="H19" s="36"/>
    </row>
    <row r="20" spans="3:11" ht="14.5">
      <c r="C20" s="161"/>
      <c r="F20" s="18"/>
    </row>
    <row r="21" spans="3:11" ht="15.75" customHeight="1">
      <c r="C21" s="161"/>
      <c r="D21" s="18"/>
      <c r="F21" s="18"/>
    </row>
    <row r="22" spans="3:11" ht="15.75" customHeight="1">
      <c r="C22" s="18"/>
      <c r="F22" s="32"/>
    </row>
    <row r="23" spans="3:11" ht="15.75" customHeight="1"/>
    <row r="24" spans="3:11" ht="15.75" customHeight="1">
      <c r="I24" s="79"/>
    </row>
    <row r="25" spans="3:11" ht="15.75" customHeight="1">
      <c r="I25" s="79"/>
    </row>
    <row r="26" spans="3:11" ht="15.75" customHeight="1">
      <c r="I26" s="79"/>
    </row>
    <row r="27" spans="3:11" ht="15.75" customHeight="1">
      <c r="I27" s="79"/>
    </row>
    <row r="28" spans="3:11" ht="15.75" customHeight="1">
      <c r="I28" s="79"/>
    </row>
    <row r="29" spans="3:11" ht="15.75" customHeight="1">
      <c r="I29" s="79"/>
    </row>
    <row r="30" spans="3:11" ht="15.75" customHeight="1">
      <c r="I30" s="79"/>
    </row>
    <row r="31" spans="3:11" ht="15.75" customHeight="1">
      <c r="I31" s="79"/>
    </row>
    <row r="32" spans="3:11" ht="15.75" customHeight="1">
      <c r="I32" s="79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>
      <selection sqref="A1:P1"/>
    </sheetView>
  </sheetViews>
  <sheetFormatPr defaultColWidth="14.453125" defaultRowHeight="15" customHeight="1"/>
  <cols>
    <col min="1" max="1" width="6.26953125" customWidth="1"/>
    <col min="2" max="2" width="22" customWidth="1"/>
    <col min="3" max="9" width="19.453125" customWidth="1"/>
    <col min="10" max="16" width="19.54296875" customWidth="1"/>
    <col min="17" max="17" width="8.7265625" customWidth="1"/>
    <col min="18" max="18" width="18" customWidth="1"/>
    <col min="19" max="19" width="16.81640625" customWidth="1"/>
    <col min="20" max="20" width="17.453125" customWidth="1"/>
    <col min="21" max="21" width="16.54296875" customWidth="1"/>
    <col min="22" max="22" width="16.81640625" customWidth="1"/>
    <col min="23" max="32" width="8.7265625" customWidth="1"/>
  </cols>
  <sheetData>
    <row r="1" spans="1:21" ht="17.5">
      <c r="A1" s="498" t="s">
        <v>71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</row>
    <row r="2" spans="1:21" ht="14.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1" ht="19.5" customHeight="1">
      <c r="A3" s="500" t="s">
        <v>24</v>
      </c>
      <c r="B3" s="500" t="s">
        <v>39</v>
      </c>
      <c r="C3" s="501" t="s">
        <v>2</v>
      </c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486"/>
    </row>
    <row r="4" spans="1:21" ht="19.5" customHeight="1">
      <c r="A4" s="489"/>
      <c r="B4" s="489"/>
      <c r="C4" s="204" t="s">
        <v>8</v>
      </c>
      <c r="D4" s="204" t="s">
        <v>27</v>
      </c>
      <c r="E4" s="204" t="s">
        <v>10</v>
      </c>
      <c r="F4" s="204" t="s">
        <v>28</v>
      </c>
      <c r="G4" s="204" t="s">
        <v>29</v>
      </c>
      <c r="H4" s="204" t="s">
        <v>30</v>
      </c>
      <c r="I4" s="204" t="s">
        <v>31</v>
      </c>
      <c r="J4" s="204" t="s">
        <v>32</v>
      </c>
      <c r="K4" s="204" t="s">
        <v>33</v>
      </c>
      <c r="L4" s="204" t="s">
        <v>34</v>
      </c>
      <c r="M4" s="204" t="s">
        <v>72</v>
      </c>
      <c r="N4" s="204" t="s">
        <v>35</v>
      </c>
      <c r="O4" s="204" t="s">
        <v>36</v>
      </c>
      <c r="P4" s="204" t="s">
        <v>20</v>
      </c>
      <c r="R4" s="205" t="s">
        <v>73</v>
      </c>
    </row>
    <row r="5" spans="1:21" ht="24.75" customHeight="1">
      <c r="A5" s="206">
        <v>1</v>
      </c>
      <c r="B5" s="207" t="s">
        <v>74</v>
      </c>
      <c r="C5" s="9">
        <v>1523717752</v>
      </c>
      <c r="D5" s="9">
        <v>1570246660</v>
      </c>
      <c r="E5" s="9">
        <v>1571961976</v>
      </c>
      <c r="F5" s="9">
        <v>1585539979</v>
      </c>
      <c r="G5" s="9">
        <v>1595639458</v>
      </c>
      <c r="H5" s="9">
        <v>1636566680</v>
      </c>
      <c r="I5" s="9">
        <v>1592052917</v>
      </c>
      <c r="J5" s="75">
        <v>1596177863</v>
      </c>
      <c r="K5" s="75">
        <v>1603505114</v>
      </c>
      <c r="L5" s="208">
        <v>1531120269</v>
      </c>
      <c r="M5" s="9">
        <v>31513030</v>
      </c>
      <c r="N5" s="9">
        <v>1623808431</v>
      </c>
      <c r="O5" s="9">
        <v>1650798438</v>
      </c>
      <c r="P5" s="9">
        <f t="shared" ref="P5:P11" si="0">SUM(C5:O5)</f>
        <v>19112648567</v>
      </c>
      <c r="R5" s="209"/>
    </row>
    <row r="6" spans="1:21" ht="24.75" customHeight="1">
      <c r="A6" s="210">
        <v>2</v>
      </c>
      <c r="B6" s="207" t="s">
        <v>75</v>
      </c>
      <c r="C6" s="9">
        <v>1194169099</v>
      </c>
      <c r="D6" s="9">
        <v>1242693223</v>
      </c>
      <c r="E6" s="9">
        <v>1239721117</v>
      </c>
      <c r="F6" s="9">
        <v>1256443051</v>
      </c>
      <c r="G6" s="9">
        <v>1240491571</v>
      </c>
      <c r="H6" s="9">
        <v>1246627076</v>
      </c>
      <c r="I6" s="9">
        <v>1232097433</v>
      </c>
      <c r="J6" s="208">
        <v>1240918427</v>
      </c>
      <c r="K6" s="75">
        <v>1234536720</v>
      </c>
      <c r="L6" s="208">
        <v>1163863008</v>
      </c>
      <c r="M6" s="75">
        <v>8856433</v>
      </c>
      <c r="N6" s="75">
        <v>1234962992</v>
      </c>
      <c r="O6" s="9">
        <v>1229349897</v>
      </c>
      <c r="P6" s="9">
        <f t="shared" si="0"/>
        <v>14764730047</v>
      </c>
      <c r="R6" s="209"/>
    </row>
    <row r="7" spans="1:21" ht="24.75" customHeight="1">
      <c r="A7" s="210">
        <v>3</v>
      </c>
      <c r="B7" s="207" t="s">
        <v>76</v>
      </c>
      <c r="C7" s="9">
        <v>1183567157</v>
      </c>
      <c r="D7" s="9">
        <v>1242124767</v>
      </c>
      <c r="E7" s="9">
        <v>1239556452</v>
      </c>
      <c r="F7" s="9">
        <v>1230087282</v>
      </c>
      <c r="G7" s="9">
        <v>1232159896</v>
      </c>
      <c r="H7" s="9">
        <v>1240963810</v>
      </c>
      <c r="I7" s="9">
        <v>1222000535</v>
      </c>
      <c r="J7" s="208">
        <v>1229787132</v>
      </c>
      <c r="K7" s="75">
        <v>1232177875</v>
      </c>
      <c r="L7" s="208">
        <v>1165276698</v>
      </c>
      <c r="M7" s="75">
        <v>15765882</v>
      </c>
      <c r="N7" s="75">
        <v>1248844504</v>
      </c>
      <c r="O7" s="9">
        <v>1247444460</v>
      </c>
      <c r="P7" s="9">
        <f t="shared" si="0"/>
        <v>14729756450</v>
      </c>
      <c r="R7" s="209"/>
      <c r="U7" s="211"/>
    </row>
    <row r="8" spans="1:21" ht="24.75" customHeight="1">
      <c r="A8" s="210">
        <v>4</v>
      </c>
      <c r="B8" s="207" t="s">
        <v>77</v>
      </c>
      <c r="C8" s="9">
        <v>1684955290</v>
      </c>
      <c r="D8" s="9">
        <v>1828870797</v>
      </c>
      <c r="E8" s="212">
        <v>1822050323</v>
      </c>
      <c r="F8" s="9">
        <v>1814359074</v>
      </c>
      <c r="G8" s="9">
        <v>1791123338</v>
      </c>
      <c r="H8" s="9">
        <v>1808335033</v>
      </c>
      <c r="I8" s="9">
        <v>1786209205</v>
      </c>
      <c r="J8" s="208">
        <v>1795781688</v>
      </c>
      <c r="K8" s="75">
        <v>1792332331</v>
      </c>
      <c r="L8" s="208">
        <v>1642508709</v>
      </c>
      <c r="M8" s="75">
        <v>28396661</v>
      </c>
      <c r="N8" s="75">
        <v>1784920630</v>
      </c>
      <c r="O8" s="9">
        <v>1794478152</v>
      </c>
      <c r="P8" s="9">
        <f t="shared" si="0"/>
        <v>21374321231</v>
      </c>
      <c r="R8" s="209"/>
    </row>
    <row r="9" spans="1:21" ht="24.75" customHeight="1">
      <c r="A9" s="210">
        <v>5</v>
      </c>
      <c r="B9" s="207" t="s">
        <v>78</v>
      </c>
      <c r="C9" s="9">
        <v>2825160182</v>
      </c>
      <c r="D9" s="9">
        <v>2906465820</v>
      </c>
      <c r="E9" s="9">
        <v>2873914388</v>
      </c>
      <c r="F9" s="9">
        <v>2848952748</v>
      </c>
      <c r="G9" s="9">
        <v>2826615431</v>
      </c>
      <c r="H9" s="9">
        <v>2813390293</v>
      </c>
      <c r="I9" s="9">
        <v>2765704350</v>
      </c>
      <c r="J9" s="208">
        <v>2770585703</v>
      </c>
      <c r="K9" s="75">
        <v>2765756278</v>
      </c>
      <c r="L9" s="208">
        <v>2582656810</v>
      </c>
      <c r="M9" s="75">
        <f>650000+44545806</f>
        <v>45195806</v>
      </c>
      <c r="N9" s="75">
        <v>2732068542</v>
      </c>
      <c r="O9" s="9">
        <v>2720017819</v>
      </c>
      <c r="P9" s="9">
        <f t="shared" si="0"/>
        <v>33476484170</v>
      </c>
      <c r="R9" s="209"/>
    </row>
    <row r="10" spans="1:21" ht="24.75" customHeight="1">
      <c r="A10" s="210">
        <v>6</v>
      </c>
      <c r="B10" s="207" t="s">
        <v>79</v>
      </c>
      <c r="C10" s="9">
        <v>2936441025</v>
      </c>
      <c r="D10" s="9">
        <v>3004329425</v>
      </c>
      <c r="E10" s="9">
        <v>2990328366</v>
      </c>
      <c r="F10" s="9">
        <v>2977386133</v>
      </c>
      <c r="G10" s="9">
        <v>2953786305</v>
      </c>
      <c r="H10" s="9">
        <v>2950721348</v>
      </c>
      <c r="I10" s="9">
        <v>2905144764</v>
      </c>
      <c r="J10" s="208">
        <v>2925632131</v>
      </c>
      <c r="K10" s="75">
        <v>2922582183</v>
      </c>
      <c r="L10" s="208">
        <v>2785145677</v>
      </c>
      <c r="M10" s="75">
        <f>2700000+33616464</f>
        <v>36316464</v>
      </c>
      <c r="N10" s="75">
        <v>3156271203</v>
      </c>
      <c r="O10" s="9">
        <v>3171564393</v>
      </c>
      <c r="P10" s="9">
        <f t="shared" si="0"/>
        <v>35715649417</v>
      </c>
      <c r="R10" s="209"/>
    </row>
    <row r="11" spans="1:21" ht="24.75" customHeight="1">
      <c r="A11" s="210">
        <v>7</v>
      </c>
      <c r="B11" s="207" t="s">
        <v>80</v>
      </c>
      <c r="C11" s="9">
        <v>162431363</v>
      </c>
      <c r="D11" s="9">
        <v>179143622</v>
      </c>
      <c r="E11" s="9">
        <v>179657278</v>
      </c>
      <c r="F11" s="9">
        <v>178341415</v>
      </c>
      <c r="G11" s="9">
        <v>180557651</v>
      </c>
      <c r="H11" s="9">
        <v>185786658</v>
      </c>
      <c r="I11" s="9">
        <v>180533650</v>
      </c>
      <c r="J11" s="213">
        <v>181231506</v>
      </c>
      <c r="K11" s="75">
        <v>182640498</v>
      </c>
      <c r="L11" s="208">
        <v>169005750</v>
      </c>
      <c r="M11" s="75">
        <v>3294856</v>
      </c>
      <c r="N11" s="75">
        <v>184715466</v>
      </c>
      <c r="O11" s="9">
        <v>183622535</v>
      </c>
      <c r="P11" s="9">
        <f t="shared" si="0"/>
        <v>2150962248</v>
      </c>
      <c r="R11" s="209"/>
    </row>
    <row r="12" spans="1:21" ht="30" customHeight="1">
      <c r="A12" s="214"/>
      <c r="B12" s="204" t="s">
        <v>20</v>
      </c>
      <c r="C12" s="24">
        <f t="shared" ref="C12:P12" si="1">SUM(C5:C11)</f>
        <v>11510441868</v>
      </c>
      <c r="D12" s="24">
        <f t="shared" si="1"/>
        <v>11973874314</v>
      </c>
      <c r="E12" s="24">
        <f t="shared" si="1"/>
        <v>11917189900</v>
      </c>
      <c r="F12" s="24">
        <f t="shared" si="1"/>
        <v>11891109682</v>
      </c>
      <c r="G12" s="24">
        <f t="shared" si="1"/>
        <v>11820373650</v>
      </c>
      <c r="H12" s="24">
        <f t="shared" si="1"/>
        <v>11882390898</v>
      </c>
      <c r="I12" s="24">
        <f t="shared" si="1"/>
        <v>11683742854</v>
      </c>
      <c r="J12" s="24">
        <f t="shared" si="1"/>
        <v>11740114450</v>
      </c>
      <c r="K12" s="24">
        <f t="shared" si="1"/>
        <v>11733530999</v>
      </c>
      <c r="L12" s="24">
        <f t="shared" si="1"/>
        <v>11039576921</v>
      </c>
      <c r="M12" s="24">
        <f t="shared" si="1"/>
        <v>169339132</v>
      </c>
      <c r="N12" s="24">
        <f t="shared" si="1"/>
        <v>11965591768</v>
      </c>
      <c r="O12" s="24">
        <f t="shared" si="1"/>
        <v>11997275694</v>
      </c>
      <c r="P12" s="24">
        <f t="shared" si="1"/>
        <v>141324552130</v>
      </c>
      <c r="R12" s="209"/>
    </row>
    <row r="13" spans="1:21" ht="14.5">
      <c r="A13" s="215"/>
      <c r="B13" s="215"/>
      <c r="C13" s="216"/>
      <c r="D13" s="216"/>
      <c r="E13" s="216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R13" s="209"/>
    </row>
    <row r="14" spans="1:21" ht="14.5">
      <c r="A14" s="215"/>
      <c r="B14" s="215"/>
      <c r="C14" s="216"/>
      <c r="D14" s="99"/>
      <c r="E14" s="78"/>
      <c r="F14" s="216"/>
      <c r="G14" s="216"/>
      <c r="H14" s="38"/>
      <c r="I14" s="38"/>
      <c r="J14" s="217"/>
      <c r="K14" s="218"/>
      <c r="L14" s="218"/>
      <c r="M14" s="218"/>
      <c r="N14" s="218"/>
      <c r="O14" s="218"/>
      <c r="P14" s="78"/>
      <c r="R14" s="219"/>
    </row>
    <row r="15" spans="1:21" ht="15.5">
      <c r="A15" s="220"/>
      <c r="B15" s="220"/>
      <c r="C15" s="221"/>
      <c r="D15" s="221"/>
      <c r="E15" s="221"/>
      <c r="F15" s="221"/>
      <c r="G15" s="221"/>
      <c r="N15" s="503"/>
      <c r="O15" s="499"/>
      <c r="P15" s="499"/>
    </row>
    <row r="16" spans="1:21" ht="14.5">
      <c r="A16" s="220"/>
      <c r="B16" s="222"/>
      <c r="C16" s="223"/>
      <c r="D16" s="223"/>
      <c r="E16" s="223"/>
      <c r="F16" s="223"/>
      <c r="G16" s="223"/>
      <c r="H16" s="223"/>
      <c r="I16" s="223"/>
      <c r="K16" s="224"/>
      <c r="L16" s="225"/>
      <c r="N16" s="218"/>
      <c r="O16" s="126"/>
    </row>
    <row r="17" spans="1:14" ht="14.5">
      <c r="A17" s="220"/>
      <c r="B17" s="222"/>
      <c r="E17" s="65"/>
      <c r="K17" s="224"/>
      <c r="L17" s="225"/>
      <c r="N17" s="218"/>
    </row>
    <row r="18" spans="1:14" ht="14.5">
      <c r="A18" s="220"/>
      <c r="B18" s="222"/>
      <c r="C18" s="118"/>
      <c r="D18" s="65"/>
      <c r="E18" s="221"/>
      <c r="K18" s="224"/>
      <c r="L18" s="225"/>
      <c r="N18" s="218"/>
    </row>
    <row r="19" spans="1:14" ht="14.5">
      <c r="A19" s="220"/>
      <c r="B19" s="222"/>
      <c r="C19" s="118"/>
      <c r="D19" s="221"/>
      <c r="E19" s="221"/>
      <c r="K19" s="224"/>
      <c r="L19" s="225"/>
      <c r="N19" s="218"/>
    </row>
    <row r="20" spans="1:14" ht="14.5">
      <c r="A20" s="220"/>
      <c r="B20" s="222"/>
      <c r="C20" s="226"/>
      <c r="D20" s="226"/>
      <c r="E20" s="221"/>
      <c r="K20" s="224"/>
      <c r="L20" s="225"/>
      <c r="N20" s="218"/>
    </row>
    <row r="21" spans="1:14" ht="15.75" customHeight="1">
      <c r="A21" s="220"/>
      <c r="B21" s="222"/>
      <c r="C21" s="226"/>
      <c r="D21" s="226"/>
      <c r="E21" s="221"/>
      <c r="K21" s="224"/>
      <c r="L21" s="225"/>
      <c r="N21" s="218"/>
    </row>
    <row r="22" spans="1:14" ht="15.75" customHeight="1">
      <c r="A22" s="220"/>
      <c r="B22" s="222"/>
      <c r="C22" s="226"/>
      <c r="D22" s="226"/>
      <c r="E22" s="221"/>
      <c r="K22" s="224"/>
      <c r="L22" s="225"/>
      <c r="N22" s="218"/>
    </row>
    <row r="23" spans="1:14" ht="15.75" customHeight="1">
      <c r="A23" s="220"/>
      <c r="B23" s="227"/>
      <c r="C23" s="226"/>
      <c r="D23" s="226"/>
      <c r="E23" s="221"/>
      <c r="N23" s="218"/>
    </row>
    <row r="24" spans="1:14" ht="15.75" customHeight="1">
      <c r="A24" s="220"/>
      <c r="B24" s="227"/>
      <c r="C24" s="226"/>
      <c r="D24" s="226"/>
      <c r="E24" s="221"/>
      <c r="N24" s="218"/>
    </row>
    <row r="25" spans="1:14" ht="15.75" customHeight="1">
      <c r="A25" s="220"/>
      <c r="B25" s="227"/>
      <c r="C25" s="226"/>
      <c r="D25" s="226"/>
      <c r="E25" s="221"/>
    </row>
    <row r="26" spans="1:14" ht="15.75" customHeight="1">
      <c r="A26" s="220"/>
      <c r="B26" s="227"/>
      <c r="C26" s="226"/>
      <c r="D26" s="226"/>
      <c r="E26" s="221"/>
    </row>
    <row r="27" spans="1:14" ht="15.75" customHeight="1">
      <c r="A27" s="220"/>
      <c r="B27" s="220"/>
      <c r="C27" s="79"/>
      <c r="D27" s="79"/>
      <c r="E27" s="221"/>
    </row>
    <row r="28" spans="1:14" ht="15.75" customHeight="1">
      <c r="A28" s="220"/>
      <c r="B28" s="220"/>
      <c r="C28" s="118"/>
      <c r="D28" s="118"/>
      <c r="E28" s="228"/>
    </row>
    <row r="29" spans="1:14" ht="15.75" customHeight="1">
      <c r="A29" s="220"/>
      <c r="B29" s="220"/>
      <c r="C29" s="118"/>
      <c r="D29" s="118"/>
      <c r="E29" s="118"/>
    </row>
    <row r="30" spans="1:14" ht="15.75" customHeight="1">
      <c r="A30" s="220"/>
      <c r="B30" s="220"/>
    </row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P1"/>
    <mergeCell ref="A3:A4"/>
    <mergeCell ref="B3:B4"/>
    <mergeCell ref="C3:P3"/>
    <mergeCell ref="N15:P15"/>
  </mergeCells>
  <pageMargins left="0.7" right="0.7" top="0.75" bottom="0.75" header="0" footer="0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0"/>
  <sheetViews>
    <sheetView workbookViewId="0"/>
  </sheetViews>
  <sheetFormatPr defaultColWidth="14.453125" defaultRowHeight="15" customHeight="1"/>
  <cols>
    <col min="1" max="1" width="5.81640625" customWidth="1"/>
    <col min="2" max="2" width="22.81640625" customWidth="1"/>
    <col min="3" max="3" width="19.26953125" customWidth="1"/>
    <col min="4" max="9" width="18.08984375" customWidth="1"/>
    <col min="10" max="10" width="18.81640625" customWidth="1"/>
    <col min="11" max="11" width="19.26953125" customWidth="1"/>
    <col min="12" max="12" width="20.26953125" customWidth="1"/>
    <col min="13" max="13" width="19.7265625" customWidth="1"/>
    <col min="14" max="16" width="20.26953125" customWidth="1"/>
    <col min="17" max="17" width="13.81640625" customWidth="1"/>
    <col min="18" max="18" width="8.7265625" customWidth="1"/>
    <col min="19" max="19" width="20.26953125" customWidth="1"/>
    <col min="20" max="20" width="21.453125" customWidth="1"/>
    <col min="21" max="21" width="16.54296875" customWidth="1"/>
    <col min="22" max="31" width="8.7265625" customWidth="1"/>
  </cols>
  <sheetData>
    <row r="1" spans="1:21" ht="14.5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</row>
    <row r="2" spans="1:21" ht="24.75" customHeight="1">
      <c r="A2" s="230" t="s">
        <v>1</v>
      </c>
      <c r="B2" s="230" t="s">
        <v>39</v>
      </c>
      <c r="C2" s="231" t="s">
        <v>26</v>
      </c>
      <c r="D2" s="230" t="s">
        <v>8</v>
      </c>
      <c r="E2" s="230" t="s">
        <v>27</v>
      </c>
      <c r="F2" s="230" t="s">
        <v>10</v>
      </c>
      <c r="G2" s="230" t="s">
        <v>28</v>
      </c>
      <c r="H2" s="230" t="s">
        <v>29</v>
      </c>
      <c r="I2" s="230" t="s">
        <v>30</v>
      </c>
      <c r="J2" s="230" t="s">
        <v>31</v>
      </c>
      <c r="K2" s="230" t="s">
        <v>32</v>
      </c>
      <c r="L2" s="230" t="s">
        <v>33</v>
      </c>
      <c r="M2" s="230" t="s">
        <v>34</v>
      </c>
      <c r="N2" s="230" t="s">
        <v>35</v>
      </c>
      <c r="O2" s="230" t="s">
        <v>36</v>
      </c>
      <c r="P2" s="230" t="s">
        <v>20</v>
      </c>
      <c r="Q2" s="230" t="s">
        <v>81</v>
      </c>
      <c r="R2" s="229"/>
      <c r="S2" s="118"/>
    </row>
    <row r="3" spans="1:21" ht="24.75" customHeight="1">
      <c r="A3" s="232">
        <v>1</v>
      </c>
      <c r="B3" s="233" t="s">
        <v>63</v>
      </c>
      <c r="C3" s="16">
        <v>67000000000</v>
      </c>
      <c r="D3" s="16">
        <v>2427417571</v>
      </c>
      <c r="E3" s="16">
        <v>2039130938</v>
      </c>
      <c r="F3" s="16">
        <v>3359926927</v>
      </c>
      <c r="G3" s="16">
        <v>13997781112</v>
      </c>
      <c r="H3" s="16">
        <v>2292691987</v>
      </c>
      <c r="I3" s="16">
        <v>3087718050</v>
      </c>
      <c r="J3" s="16">
        <f>5316733715+25000</f>
        <v>5316758715</v>
      </c>
      <c r="K3" s="16">
        <v>2652913097</v>
      </c>
      <c r="L3" s="16">
        <v>3446378940</v>
      </c>
      <c r="M3" s="16">
        <f>5511051652-25000</f>
        <v>5511026652</v>
      </c>
      <c r="N3" s="16">
        <f>4161489037-1126631</f>
        <v>4160362406</v>
      </c>
      <c r="O3" s="9">
        <v>5994229142</v>
      </c>
      <c r="P3" s="16">
        <f t="shared" ref="P3:P9" si="0">SUM(D3:O3)</f>
        <v>54286335537</v>
      </c>
      <c r="Q3" s="234">
        <f t="shared" ref="Q3:Q10" si="1">P3/C3</f>
        <v>0.81024381398507461</v>
      </c>
      <c r="R3" s="229"/>
      <c r="S3" s="126"/>
      <c r="T3" s="235"/>
      <c r="U3" s="226"/>
    </row>
    <row r="4" spans="1:21" ht="24.75" customHeight="1">
      <c r="A4" s="232">
        <v>2</v>
      </c>
      <c r="B4" s="233" t="s">
        <v>64</v>
      </c>
      <c r="C4" s="16">
        <v>28000000000</v>
      </c>
      <c r="D4" s="16">
        <v>1261525210</v>
      </c>
      <c r="E4" s="16">
        <v>1530468500</v>
      </c>
      <c r="F4" s="16">
        <v>1759368893</v>
      </c>
      <c r="G4" s="16">
        <v>4276605472</v>
      </c>
      <c r="H4" s="16">
        <v>2788894016</v>
      </c>
      <c r="I4" s="16">
        <v>1817261852</v>
      </c>
      <c r="J4" s="16">
        <f>1578446568+40000000+17920000</f>
        <v>1636366568</v>
      </c>
      <c r="K4" s="16">
        <v>1803223861</v>
      </c>
      <c r="L4" s="16">
        <v>1680324897</v>
      </c>
      <c r="M4" s="16">
        <v>1360040897</v>
      </c>
      <c r="N4" s="9">
        <v>1474163039</v>
      </c>
      <c r="O4" s="9">
        <v>1922578564</v>
      </c>
      <c r="P4" s="16">
        <f t="shared" si="0"/>
        <v>23310821769</v>
      </c>
      <c r="Q4" s="234">
        <f t="shared" si="1"/>
        <v>0.83252934889285712</v>
      </c>
      <c r="R4" s="229"/>
      <c r="S4" s="153"/>
      <c r="T4" s="235"/>
      <c r="U4" s="161"/>
    </row>
    <row r="5" spans="1:21" ht="24.75" customHeight="1">
      <c r="A5" s="232">
        <v>3</v>
      </c>
      <c r="B5" s="233" t="s">
        <v>65</v>
      </c>
      <c r="C5" s="16">
        <v>27000000000</v>
      </c>
      <c r="D5" s="16">
        <v>1441202268</v>
      </c>
      <c r="E5" s="16">
        <v>1381498322</v>
      </c>
      <c r="F5" s="16">
        <v>2116543451</v>
      </c>
      <c r="G5" s="16">
        <v>3551735069</v>
      </c>
      <c r="H5" s="16">
        <v>2061136427</v>
      </c>
      <c r="I5" s="16">
        <v>1944802504</v>
      </c>
      <c r="J5" s="16">
        <v>1558208625</v>
      </c>
      <c r="K5" s="16">
        <v>1480809730</v>
      </c>
      <c r="L5" s="16">
        <v>1864211468</v>
      </c>
      <c r="M5" s="16">
        <v>2477926456</v>
      </c>
      <c r="N5" s="9">
        <v>1891200755</v>
      </c>
      <c r="O5" s="9">
        <v>3990415283</v>
      </c>
      <c r="P5" s="16">
        <f t="shared" si="0"/>
        <v>25759690358</v>
      </c>
      <c r="Q5" s="234">
        <f t="shared" si="1"/>
        <v>0.95406260585185187</v>
      </c>
      <c r="R5" s="229"/>
      <c r="S5" s="153">
        <v>531798000</v>
      </c>
      <c r="T5" s="235"/>
      <c r="U5" s="161"/>
    </row>
    <row r="6" spans="1:21" ht="24.75" customHeight="1">
      <c r="A6" s="232">
        <v>4</v>
      </c>
      <c r="B6" s="233" t="s">
        <v>66</v>
      </c>
      <c r="C6" s="16">
        <v>41000000000</v>
      </c>
      <c r="D6" s="16">
        <v>1914236290</v>
      </c>
      <c r="E6" s="16">
        <v>1905454596</v>
      </c>
      <c r="F6" s="16">
        <v>2089017183</v>
      </c>
      <c r="G6" s="16">
        <v>5438891614</v>
      </c>
      <c r="H6" s="16">
        <v>2675902593</v>
      </c>
      <c r="I6" s="16">
        <v>2139275725</v>
      </c>
      <c r="J6" s="16">
        <v>2202230535</v>
      </c>
      <c r="K6" s="16">
        <v>2844734251</v>
      </c>
      <c r="L6" s="16">
        <v>3321523613</v>
      </c>
      <c r="M6" s="16">
        <v>2245803107</v>
      </c>
      <c r="N6" s="9">
        <v>2072920124</v>
      </c>
      <c r="O6" s="9">
        <v>2293241043</v>
      </c>
      <c r="P6" s="16">
        <f t="shared" si="0"/>
        <v>31143230674</v>
      </c>
      <c r="Q6" s="234">
        <f t="shared" si="1"/>
        <v>0.75959099204878044</v>
      </c>
      <c r="R6" s="229"/>
      <c r="S6" s="153">
        <f>S5+O5</f>
        <v>4522213283</v>
      </c>
      <c r="T6" s="235"/>
      <c r="U6" s="161"/>
    </row>
    <row r="7" spans="1:21" ht="24.75" customHeight="1">
      <c r="A7" s="232">
        <v>5</v>
      </c>
      <c r="B7" s="233" t="s">
        <v>67</v>
      </c>
      <c r="C7" s="16">
        <v>70000000000</v>
      </c>
      <c r="D7" s="16">
        <v>2980603807</v>
      </c>
      <c r="E7" s="16">
        <v>3116002565</v>
      </c>
      <c r="F7" s="16">
        <v>3799974068</v>
      </c>
      <c r="G7" s="16">
        <v>13114922402</v>
      </c>
      <c r="H7" s="16">
        <v>3920389519</v>
      </c>
      <c r="I7" s="16">
        <v>3304267080</v>
      </c>
      <c r="J7" s="16">
        <v>2919329775</v>
      </c>
      <c r="K7" s="16">
        <v>2906950556</v>
      </c>
      <c r="L7" s="16">
        <v>3456398355</v>
      </c>
      <c r="M7" s="16">
        <v>3319834055</v>
      </c>
      <c r="N7" s="9">
        <v>3834324060</v>
      </c>
      <c r="O7" s="9">
        <v>5871712187</v>
      </c>
      <c r="P7" s="16">
        <f t="shared" si="0"/>
        <v>52544708429</v>
      </c>
      <c r="Q7" s="234">
        <f t="shared" si="1"/>
        <v>0.75063869184285714</v>
      </c>
      <c r="R7" s="229"/>
      <c r="S7" s="153"/>
      <c r="T7" s="235"/>
      <c r="U7" s="161"/>
    </row>
    <row r="8" spans="1:21" ht="24.75" customHeight="1">
      <c r="A8" s="232">
        <v>6</v>
      </c>
      <c r="B8" s="233" t="s">
        <v>68</v>
      </c>
      <c r="C8" s="16">
        <v>63000000000</v>
      </c>
      <c r="D8" s="16">
        <v>3083360862</v>
      </c>
      <c r="E8" s="16">
        <v>3174731407</v>
      </c>
      <c r="F8" s="16">
        <v>3499024948</v>
      </c>
      <c r="G8" s="16">
        <v>12687772760</v>
      </c>
      <c r="H8" s="16">
        <v>5636495263</v>
      </c>
      <c r="I8" s="16">
        <v>4170293348</v>
      </c>
      <c r="J8" s="16">
        <v>3699041154</v>
      </c>
      <c r="K8" s="16">
        <v>6147564586</v>
      </c>
      <c r="L8" s="9">
        <v>3862751736</v>
      </c>
      <c r="M8" s="9">
        <v>3685390339</v>
      </c>
      <c r="N8" s="9">
        <v>3954533105</v>
      </c>
      <c r="O8" s="9">
        <v>8321515168</v>
      </c>
      <c r="P8" s="16">
        <f t="shared" si="0"/>
        <v>61922474676</v>
      </c>
      <c r="Q8" s="234">
        <f t="shared" si="1"/>
        <v>0.98289642342857142</v>
      </c>
      <c r="R8" s="229"/>
      <c r="S8" s="153"/>
      <c r="T8" s="235"/>
      <c r="U8" s="161"/>
    </row>
    <row r="9" spans="1:21" ht="24.75" customHeight="1">
      <c r="A9" s="232">
        <v>7</v>
      </c>
      <c r="B9" s="233" t="s">
        <v>69</v>
      </c>
      <c r="C9" s="16">
        <v>4000000000</v>
      </c>
      <c r="D9" s="16">
        <v>169682474</v>
      </c>
      <c r="E9" s="16">
        <v>179143622</v>
      </c>
      <c r="F9" s="16">
        <v>243657378</v>
      </c>
      <c r="G9" s="16">
        <v>453438971</v>
      </c>
      <c r="H9" s="16">
        <v>300148762</v>
      </c>
      <c r="I9" s="16">
        <v>197796658</v>
      </c>
      <c r="J9" s="16">
        <v>180653650</v>
      </c>
      <c r="K9" s="16">
        <v>181231506</v>
      </c>
      <c r="L9" s="16">
        <v>191555498</v>
      </c>
      <c r="M9" s="16">
        <v>264405750</v>
      </c>
      <c r="N9" s="9">
        <v>188115921</v>
      </c>
      <c r="O9" s="9">
        <v>193547535</v>
      </c>
      <c r="P9" s="16">
        <f t="shared" si="0"/>
        <v>2743377725</v>
      </c>
      <c r="Q9" s="234">
        <f t="shared" si="1"/>
        <v>0.68584443125000005</v>
      </c>
      <c r="R9" s="229"/>
      <c r="S9" s="126"/>
      <c r="T9" s="235"/>
      <c r="U9" s="161"/>
    </row>
    <row r="10" spans="1:21" ht="24.75" customHeight="1">
      <c r="A10" s="233"/>
      <c r="B10" s="233" t="s">
        <v>82</v>
      </c>
      <c r="C10" s="236">
        <f t="shared" ref="C10:P10" si="2">SUM(C3:C9)</f>
        <v>300000000000</v>
      </c>
      <c r="D10" s="236">
        <f t="shared" si="2"/>
        <v>13278028482</v>
      </c>
      <c r="E10" s="236">
        <f t="shared" si="2"/>
        <v>13326429950</v>
      </c>
      <c r="F10" s="236">
        <f t="shared" si="2"/>
        <v>16867512848</v>
      </c>
      <c r="G10" s="236">
        <f t="shared" si="2"/>
        <v>53521147400</v>
      </c>
      <c r="H10" s="236">
        <f t="shared" si="2"/>
        <v>19675658567</v>
      </c>
      <c r="I10" s="236">
        <f t="shared" si="2"/>
        <v>16661415217</v>
      </c>
      <c r="J10" s="236">
        <f t="shared" si="2"/>
        <v>17512589022</v>
      </c>
      <c r="K10" s="236">
        <f t="shared" si="2"/>
        <v>18017427587</v>
      </c>
      <c r="L10" s="236">
        <f t="shared" si="2"/>
        <v>17823144507</v>
      </c>
      <c r="M10" s="236">
        <f t="shared" si="2"/>
        <v>18864427256</v>
      </c>
      <c r="N10" s="236">
        <f t="shared" si="2"/>
        <v>17575619410</v>
      </c>
      <c r="O10" s="236">
        <f t="shared" si="2"/>
        <v>28587238922</v>
      </c>
      <c r="P10" s="236">
        <f t="shared" si="2"/>
        <v>251710639168</v>
      </c>
      <c r="Q10" s="234">
        <f t="shared" si="1"/>
        <v>0.83903546389333339</v>
      </c>
      <c r="R10" s="229"/>
      <c r="S10" s="235"/>
      <c r="T10" s="235"/>
      <c r="U10" s="18"/>
    </row>
    <row r="11" spans="1:21" ht="14.5">
      <c r="A11" s="229"/>
      <c r="B11" s="229"/>
      <c r="C11" s="229"/>
      <c r="D11" s="237"/>
      <c r="E11" s="229"/>
      <c r="F11" s="229"/>
      <c r="G11" s="237"/>
      <c r="I11" s="229"/>
      <c r="J11" s="229"/>
      <c r="K11" s="32"/>
      <c r="M11" s="229"/>
      <c r="N11" s="229"/>
      <c r="Q11" s="229"/>
      <c r="R11" s="229"/>
      <c r="S11" s="118"/>
      <c r="T11" s="238"/>
      <c r="U11" s="18"/>
    </row>
    <row r="12" spans="1:21" ht="14.5">
      <c r="A12" s="229"/>
      <c r="B12" s="229"/>
      <c r="C12" s="229"/>
      <c r="D12" s="18"/>
      <c r="E12" s="18"/>
      <c r="F12" s="18"/>
      <c r="G12" s="18"/>
      <c r="H12" s="18"/>
      <c r="I12" s="18"/>
      <c r="J12" s="18"/>
      <c r="L12" s="18"/>
      <c r="M12" s="126"/>
      <c r="N12" s="18"/>
      <c r="O12" s="18"/>
      <c r="P12" s="18"/>
      <c r="Q12" s="229"/>
      <c r="R12" s="229"/>
      <c r="S12" s="118"/>
      <c r="T12" s="138"/>
      <c r="U12" s="18"/>
    </row>
    <row r="13" spans="1:21" ht="14.5">
      <c r="A13" s="229"/>
      <c r="B13" s="229"/>
      <c r="C13" s="229"/>
      <c r="D13" s="126"/>
      <c r="E13" s="126"/>
      <c r="F13" s="239"/>
      <c r="G13" s="126"/>
      <c r="H13" s="126"/>
      <c r="I13" s="126"/>
      <c r="J13" s="126"/>
      <c r="K13" s="18"/>
      <c r="M13" s="121"/>
      <c r="N13" s="126"/>
      <c r="O13" s="126"/>
      <c r="P13" s="126"/>
      <c r="Q13" s="229"/>
      <c r="R13" s="229"/>
      <c r="T13" s="238"/>
      <c r="U13" s="18"/>
    </row>
    <row r="14" spans="1:21" ht="14.5">
      <c r="A14" s="229"/>
      <c r="B14" s="229"/>
      <c r="C14" s="237"/>
      <c r="D14" s="237"/>
      <c r="E14" s="237"/>
      <c r="F14" s="237"/>
      <c r="G14" s="237"/>
      <c r="H14" s="237"/>
      <c r="I14" s="237"/>
      <c r="J14" s="237"/>
      <c r="K14" s="229"/>
      <c r="L14" s="126"/>
      <c r="M14" s="121"/>
      <c r="N14" s="126"/>
      <c r="O14" s="126"/>
      <c r="P14" s="18"/>
      <c r="Q14" s="229"/>
      <c r="R14" s="229"/>
      <c r="S14" s="126"/>
      <c r="T14" s="238"/>
      <c r="U14" s="18"/>
    </row>
    <row r="15" spans="1:21" ht="14.5">
      <c r="A15" s="229"/>
      <c r="B15" s="229"/>
      <c r="C15" s="237"/>
      <c r="D15" s="237"/>
      <c r="E15" s="229"/>
      <c r="F15" s="240"/>
      <c r="G15" s="229"/>
      <c r="H15" s="229"/>
      <c r="I15" s="237"/>
      <c r="J15" s="229"/>
      <c r="K15" s="229"/>
      <c r="L15" s="126"/>
      <c r="M15" s="121"/>
      <c r="N15" s="241"/>
      <c r="Q15" s="229"/>
      <c r="R15" s="229"/>
      <c r="T15" s="238"/>
      <c r="U15" s="18"/>
    </row>
    <row r="16" spans="1:21" ht="14.5">
      <c r="C16" s="226"/>
      <c r="L16" s="126"/>
      <c r="M16" s="121"/>
      <c r="N16" s="126"/>
    </row>
    <row r="17" spans="3:16" ht="14.5">
      <c r="C17" s="226"/>
      <c r="D17" s="223"/>
      <c r="K17" s="18"/>
      <c r="L17" s="126"/>
      <c r="M17" s="121"/>
      <c r="N17" s="241"/>
      <c r="O17" s="126"/>
      <c r="P17" s="18"/>
    </row>
    <row r="18" spans="3:16" ht="14.5">
      <c r="C18" s="226"/>
      <c r="D18" s="137"/>
      <c r="M18" s="121"/>
      <c r="N18" s="32"/>
      <c r="O18" s="126"/>
      <c r="P18" s="136"/>
    </row>
    <row r="19" spans="3:16" ht="14.5">
      <c r="C19" s="226"/>
      <c r="D19" s="223"/>
      <c r="G19" s="79"/>
    </row>
    <row r="20" spans="3:16" ht="14.5">
      <c r="G20" s="79"/>
      <c r="L20" s="18"/>
    </row>
    <row r="21" spans="3:16" ht="15.75" customHeight="1">
      <c r="G21" s="79"/>
      <c r="L21" s="18"/>
    </row>
    <row r="22" spans="3:16" ht="15.75" customHeight="1">
      <c r="G22" s="79"/>
      <c r="L22" s="126"/>
    </row>
    <row r="23" spans="3:16" ht="15.75" customHeight="1">
      <c r="G23" s="79"/>
    </row>
    <row r="24" spans="3:16" ht="15.75" customHeight="1"/>
    <row r="25" spans="3:16" ht="15.75" customHeight="1"/>
    <row r="26" spans="3:16" ht="15.75" customHeight="1"/>
    <row r="27" spans="3:16" ht="15.75" customHeight="1"/>
    <row r="28" spans="3:16" ht="15.75" customHeight="1"/>
    <row r="29" spans="3:16" ht="15.75" customHeight="1"/>
    <row r="30" spans="3:16" ht="15.75" customHeight="1"/>
    <row r="31" spans="3:16" ht="15.75" customHeight="1"/>
    <row r="32" spans="3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H22"/>
  <sheetViews>
    <sheetView workbookViewId="0"/>
  </sheetViews>
  <sheetFormatPr defaultColWidth="14.453125" defaultRowHeight="15" customHeight="1"/>
  <cols>
    <col min="1" max="1" width="7.26953125" customWidth="1"/>
    <col min="2" max="2" width="22.54296875" customWidth="1"/>
    <col min="3" max="3" width="24" customWidth="1"/>
    <col min="4" max="4" width="24.453125" customWidth="1"/>
    <col min="5" max="5" width="23" customWidth="1"/>
    <col min="6" max="6" width="10" customWidth="1"/>
    <col min="7" max="7" width="23.81640625" customWidth="1"/>
    <col min="8" max="8" width="9.81640625" customWidth="1"/>
  </cols>
  <sheetData>
    <row r="1" spans="1:8" ht="20.25" customHeight="1">
      <c r="A1" s="242"/>
      <c r="B1" s="242"/>
      <c r="C1" s="242"/>
      <c r="D1" s="242"/>
      <c r="E1" s="242"/>
      <c r="F1" s="243"/>
      <c r="G1" s="242"/>
      <c r="H1" s="243"/>
    </row>
    <row r="2" spans="1:8" ht="20.25" customHeight="1">
      <c r="A2" s="244" t="s">
        <v>83</v>
      </c>
      <c r="B2" s="242"/>
      <c r="C2" s="242"/>
      <c r="D2" s="242"/>
      <c r="E2" s="242"/>
      <c r="F2" s="243"/>
      <c r="G2" s="242"/>
      <c r="H2" s="243"/>
    </row>
    <row r="3" spans="1:8" ht="20.25" customHeight="1">
      <c r="A3" s="242"/>
      <c r="B3" s="242"/>
      <c r="C3" s="242"/>
      <c r="D3" s="242"/>
      <c r="E3" s="242"/>
      <c r="F3" s="243"/>
      <c r="G3" s="242"/>
      <c r="H3" s="243"/>
    </row>
    <row r="4" spans="1:8" ht="20.25" customHeight="1">
      <c r="A4" s="496" t="s">
        <v>24</v>
      </c>
      <c r="B4" s="496" t="s">
        <v>84</v>
      </c>
      <c r="C4" s="495" t="s">
        <v>60</v>
      </c>
      <c r="D4" s="486"/>
      <c r="E4" s="39" t="s">
        <v>85</v>
      </c>
      <c r="F4" s="504" t="s">
        <v>59</v>
      </c>
      <c r="G4" s="39" t="s">
        <v>85</v>
      </c>
      <c r="H4" s="504" t="s">
        <v>59</v>
      </c>
    </row>
    <row r="5" spans="1:8" ht="20.25" customHeight="1">
      <c r="A5" s="489"/>
      <c r="B5" s="489"/>
      <c r="C5" s="39" t="s">
        <v>38</v>
      </c>
      <c r="D5" s="39" t="s">
        <v>39</v>
      </c>
      <c r="E5" s="39" t="s">
        <v>38</v>
      </c>
      <c r="F5" s="489"/>
      <c r="G5" s="39" t="s">
        <v>39</v>
      </c>
      <c r="H5" s="489"/>
    </row>
    <row r="6" spans="1:8" ht="24.75" customHeight="1">
      <c r="A6" s="42">
        <v>1</v>
      </c>
      <c r="B6" s="64" t="s">
        <v>86</v>
      </c>
      <c r="C6" s="81">
        <v>38584500000</v>
      </c>
      <c r="D6" s="81">
        <v>137415500000</v>
      </c>
      <c r="E6" s="63">
        <f>'Perkanal Prov &amp; Wil'!AC4+'Perkanal Prov &amp; Wil'!AC5+'Perkanal Prov &amp; Wil'!AC10</f>
        <v>41250586529</v>
      </c>
      <c r="F6" s="245">
        <f t="shared" ref="F6:F11" si="0">E6/C6</f>
        <v>1.0690973455403077</v>
      </c>
      <c r="G6" s="63">
        <f>'Perkanal Prov &amp; Wil'!AD4+'Perkanal Prov &amp; Wil'!AD5+'Perkanal Prov &amp; Wil'!AD10</f>
        <v>125955158166</v>
      </c>
      <c r="H6" s="245">
        <f t="shared" ref="H6:H12" si="1">G6/D6</f>
        <v>0.91660080679399336</v>
      </c>
    </row>
    <row r="7" spans="1:8" ht="24.75" customHeight="1">
      <c r="A7" s="42">
        <v>2</v>
      </c>
      <c r="B7" s="64" t="s">
        <v>87</v>
      </c>
      <c r="C7" s="81">
        <v>9000000000</v>
      </c>
      <c r="D7" s="81">
        <v>79500000000</v>
      </c>
      <c r="E7" s="63">
        <f>'Perkanal Prov &amp; Wil'!AC6+'Perkanal Prov &amp; Wil'!AC7+'Perkanal Prov &amp; Wil'!AC15+'Perkanal Prov &amp; Wil'!AC17</f>
        <v>5785299178</v>
      </c>
      <c r="F7" s="245">
        <f t="shared" si="0"/>
        <v>0.64281101977777777</v>
      </c>
      <c r="G7" s="63">
        <f>'Perkanal Prov &amp; Wil'!AD6+'Perkanal Prov &amp; Wil'!AD7+'Perkanal Prov &amp; Wil'!AD14+'Perkanal Prov &amp; Wil'!AD15+'Perkanal Prov &amp; Wil'!AD17</f>
        <v>66910406754</v>
      </c>
      <c r="H7" s="245">
        <f t="shared" si="1"/>
        <v>0.84164033652830184</v>
      </c>
    </row>
    <row r="8" spans="1:8" ht="24.75" customHeight="1">
      <c r="A8" s="42">
        <v>3</v>
      </c>
      <c r="B8" s="64" t="s">
        <v>88</v>
      </c>
      <c r="C8" s="81">
        <v>6000000000</v>
      </c>
      <c r="D8" s="81">
        <v>2000000000</v>
      </c>
      <c r="E8" s="63">
        <f>'Perkanal Prov &amp; Wil'!AC8+'Perkanal Prov &amp; Wil'!AC16</f>
        <v>1609393690</v>
      </c>
      <c r="F8" s="245">
        <f t="shared" si="0"/>
        <v>0.26823228166666668</v>
      </c>
      <c r="G8" s="63">
        <f>'Perkanal Prov &amp; Wil'!AD8+'Perkanal Prov &amp; Wil'!AD16</f>
        <v>0</v>
      </c>
      <c r="H8" s="245">
        <f t="shared" si="1"/>
        <v>0</v>
      </c>
    </row>
    <row r="9" spans="1:8" ht="24.75" customHeight="1">
      <c r="A9" s="42">
        <v>4</v>
      </c>
      <c r="B9" s="64" t="s">
        <v>89</v>
      </c>
      <c r="C9" s="81">
        <v>1860000000</v>
      </c>
      <c r="D9" s="81">
        <v>6640000000</v>
      </c>
      <c r="E9" s="63">
        <f>'Perkanal Prov &amp; Wil'!AC9</f>
        <v>394655061</v>
      </c>
      <c r="F9" s="245">
        <f t="shared" si="0"/>
        <v>0.21218014032258065</v>
      </c>
      <c r="G9" s="63">
        <f>'Perkanal Prov &amp; Wil'!AD9</f>
        <v>3876912800</v>
      </c>
      <c r="H9" s="245">
        <f t="shared" si="1"/>
        <v>0.58387240963855425</v>
      </c>
    </row>
    <row r="10" spans="1:8" ht="24.75" customHeight="1">
      <c r="A10" s="42">
        <v>5</v>
      </c>
      <c r="B10" s="64" t="s">
        <v>90</v>
      </c>
      <c r="C10" s="81">
        <v>11555500000</v>
      </c>
      <c r="D10" s="81">
        <v>7444500000</v>
      </c>
      <c r="E10" s="63">
        <f>'Perkanal Prov &amp; Wil'!AC18</f>
        <v>461401078</v>
      </c>
      <c r="F10" s="245">
        <f t="shared" si="0"/>
        <v>3.9929131409285619E-2</v>
      </c>
      <c r="G10" s="63">
        <f>'Perkanal Prov &amp; Wil'!AD18</f>
        <v>1672724000</v>
      </c>
      <c r="H10" s="245">
        <f t="shared" si="1"/>
        <v>0.2246925918463295</v>
      </c>
    </row>
    <row r="11" spans="1:8" ht="24.75" customHeight="1">
      <c r="A11" s="64"/>
      <c r="B11" s="39" t="s">
        <v>20</v>
      </c>
      <c r="C11" s="91">
        <f t="shared" ref="C11:E11" si="2">SUM(C6:C10)</f>
        <v>67000000000</v>
      </c>
      <c r="D11" s="91">
        <f t="shared" si="2"/>
        <v>233000000000</v>
      </c>
      <c r="E11" s="91">
        <f t="shared" si="2"/>
        <v>49501335536</v>
      </c>
      <c r="F11" s="245">
        <f t="shared" si="0"/>
        <v>0.73882590352238808</v>
      </c>
      <c r="G11" s="91">
        <f>SUM(G6:G10)</f>
        <v>198415201720</v>
      </c>
      <c r="H11" s="245">
        <f t="shared" si="1"/>
        <v>0.85156738935622323</v>
      </c>
    </row>
    <row r="12" spans="1:8" ht="24.75" customHeight="1">
      <c r="A12" s="64"/>
      <c r="B12" s="64"/>
      <c r="C12" s="64"/>
      <c r="D12" s="91">
        <f>SUM(D11+C11)</f>
        <v>300000000000</v>
      </c>
      <c r="E12" s="246"/>
      <c r="F12" s="245"/>
      <c r="G12" s="247">
        <f>E11+G11</f>
        <v>247916537256</v>
      </c>
      <c r="H12" s="245">
        <f t="shared" si="1"/>
        <v>0.82638845752000001</v>
      </c>
    </row>
    <row r="14" spans="1:8" ht="14.5">
      <c r="G14" s="18"/>
    </row>
    <row r="15" spans="1:8" ht="14.5">
      <c r="G15" s="18"/>
    </row>
    <row r="16" spans="1:8" ht="14.5">
      <c r="C16" s="18"/>
      <c r="D16" s="18"/>
    </row>
    <row r="17" spans="4:7" ht="14.5">
      <c r="G17" s="126"/>
    </row>
    <row r="18" spans="4:7" ht="14.5">
      <c r="D18" s="155"/>
    </row>
    <row r="19" spans="4:7" ht="14.5">
      <c r="D19" s="155"/>
    </row>
    <row r="20" spans="4:7" ht="14.5">
      <c r="D20" s="155"/>
    </row>
    <row r="21" spans="4:7" ht="14.5">
      <c r="D21" s="155"/>
    </row>
    <row r="22" spans="4:7" ht="14.5">
      <c r="D22" s="155"/>
    </row>
  </sheetData>
  <mergeCells count="5">
    <mergeCell ref="A4:A5"/>
    <mergeCell ref="B4:B5"/>
    <mergeCell ref="C4:D4"/>
    <mergeCell ref="F4:F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1007"/>
  <sheetViews>
    <sheetView workbookViewId="0"/>
  </sheetViews>
  <sheetFormatPr defaultColWidth="14.453125" defaultRowHeight="15" customHeight="1"/>
  <cols>
    <col min="1" max="1" width="8.7265625" customWidth="1"/>
    <col min="2" max="2" width="23" customWidth="1"/>
    <col min="3" max="3" width="16.7265625" customWidth="1"/>
    <col min="4" max="4" width="19" customWidth="1"/>
    <col min="5" max="5" width="15.26953125" customWidth="1"/>
    <col min="6" max="6" width="17.453125" customWidth="1"/>
    <col min="7" max="7" width="13.81640625" customWidth="1"/>
    <col min="8" max="9" width="15.453125" customWidth="1"/>
    <col min="10" max="10" width="16.81640625" customWidth="1"/>
    <col min="11" max="11" width="12.7265625" customWidth="1"/>
    <col min="12" max="12" width="15.453125" customWidth="1"/>
    <col min="13" max="13" width="17" customWidth="1"/>
    <col min="14" max="14" width="13.26953125" customWidth="1"/>
    <col min="15" max="15" width="12.54296875" customWidth="1"/>
    <col min="16" max="26" width="8.7265625" customWidth="1"/>
  </cols>
  <sheetData>
    <row r="1" spans="2:18" ht="17">
      <c r="B1" s="248"/>
      <c r="C1" s="505" t="s">
        <v>91</v>
      </c>
      <c r="D1" s="499"/>
      <c r="E1" s="249"/>
      <c r="F1" s="250"/>
      <c r="G1" s="251"/>
      <c r="H1" s="248"/>
      <c r="I1" s="252"/>
      <c r="J1" s="248"/>
      <c r="K1" s="248"/>
      <c r="L1" s="248"/>
      <c r="M1" s="248"/>
      <c r="N1" s="248"/>
    </row>
    <row r="2" spans="2:18" ht="17">
      <c r="B2" s="248"/>
      <c r="C2" s="249" t="s">
        <v>92</v>
      </c>
      <c r="D2" s="249" t="s">
        <v>93</v>
      </c>
      <c r="E2" s="249" t="s">
        <v>94</v>
      </c>
      <c r="F2" s="249" t="s">
        <v>47</v>
      </c>
      <c r="G2" s="249" t="s">
        <v>95</v>
      </c>
      <c r="H2" s="249" t="s">
        <v>96</v>
      </c>
      <c r="I2" s="131" t="s">
        <v>97</v>
      </c>
      <c r="J2" s="251" t="s">
        <v>98</v>
      </c>
      <c r="K2" s="251" t="s">
        <v>99</v>
      </c>
      <c r="L2" s="131" t="s">
        <v>100</v>
      </c>
      <c r="M2" s="248" t="s">
        <v>101</v>
      </c>
      <c r="N2" s="248" t="s">
        <v>102</v>
      </c>
      <c r="O2" s="205" t="s">
        <v>103</v>
      </c>
    </row>
    <row r="3" spans="2:18" ht="17">
      <c r="B3" s="250"/>
      <c r="C3" s="248"/>
      <c r="D3" s="253"/>
      <c r="E3" s="254"/>
      <c r="F3" s="248"/>
      <c r="G3" s="254"/>
      <c r="H3" s="254"/>
      <c r="I3" s="254"/>
      <c r="J3" s="255"/>
      <c r="K3" s="255"/>
      <c r="L3" s="255"/>
      <c r="M3" s="255"/>
      <c r="N3" s="254"/>
      <c r="O3" s="32"/>
      <c r="P3" s="32"/>
      <c r="Q3" s="32"/>
      <c r="R3" s="32"/>
    </row>
    <row r="4" spans="2:18" ht="17">
      <c r="B4" s="250"/>
      <c r="C4" s="254"/>
      <c r="D4" s="32"/>
      <c r="E4" s="32"/>
      <c r="F4" s="32"/>
      <c r="G4" s="250"/>
      <c r="H4" s="254"/>
      <c r="I4" s="254"/>
      <c r="J4" s="32"/>
      <c r="K4" s="32"/>
      <c r="L4" s="32"/>
      <c r="M4" s="32"/>
      <c r="N4" s="32"/>
      <c r="O4" s="32"/>
      <c r="P4" s="32"/>
      <c r="Q4" s="32"/>
      <c r="R4" s="32"/>
    </row>
    <row r="5" spans="2:18" ht="17">
      <c r="B5" s="131"/>
      <c r="C5" s="254"/>
      <c r="D5" s="32"/>
      <c r="E5" s="254"/>
      <c r="F5" s="32"/>
      <c r="G5" s="250"/>
      <c r="H5" s="254"/>
      <c r="I5" s="250"/>
      <c r="J5" s="254"/>
      <c r="K5" s="250"/>
      <c r="L5" s="254"/>
      <c r="M5" s="254"/>
      <c r="N5" s="254"/>
      <c r="O5" s="32"/>
      <c r="P5" s="32"/>
      <c r="Q5" s="32"/>
      <c r="R5" s="32"/>
    </row>
    <row r="6" spans="2:18" ht="17">
      <c r="B6" s="248"/>
      <c r="C6" s="250"/>
      <c r="D6" s="32"/>
      <c r="E6" s="254"/>
      <c r="F6" s="32"/>
      <c r="G6" s="250"/>
      <c r="H6" s="256"/>
      <c r="I6" s="250"/>
      <c r="J6" s="254"/>
      <c r="K6" s="250"/>
      <c r="L6" s="254"/>
      <c r="M6" s="254"/>
      <c r="N6" s="254"/>
      <c r="O6" s="32"/>
      <c r="P6" s="32"/>
      <c r="Q6" s="32"/>
      <c r="R6" s="32"/>
    </row>
    <row r="7" spans="2:18" ht="17">
      <c r="B7" s="250"/>
      <c r="C7" s="254"/>
      <c r="D7" s="32"/>
      <c r="E7" s="254"/>
      <c r="F7" s="32"/>
      <c r="G7" s="250"/>
      <c r="H7" s="256"/>
      <c r="I7" s="250"/>
      <c r="J7" s="254"/>
      <c r="K7" s="254"/>
      <c r="L7" s="250"/>
      <c r="M7" s="254"/>
      <c r="N7" s="254"/>
      <c r="O7" s="32"/>
      <c r="P7" s="32"/>
      <c r="Q7" s="32"/>
      <c r="R7" s="32"/>
    </row>
    <row r="8" spans="2:18" ht="17">
      <c r="B8" s="248"/>
      <c r="C8" s="250"/>
      <c r="D8" s="32"/>
      <c r="E8" s="254"/>
      <c r="F8" s="32"/>
      <c r="G8" s="250"/>
      <c r="H8" s="254"/>
      <c r="I8" s="250"/>
      <c r="J8" s="250"/>
      <c r="K8" s="250"/>
      <c r="L8" s="250"/>
      <c r="M8" s="254"/>
      <c r="N8" s="254"/>
      <c r="O8" s="32"/>
      <c r="P8" s="32"/>
      <c r="Q8" s="32"/>
      <c r="R8" s="32"/>
    </row>
    <row r="9" spans="2:18" ht="17">
      <c r="B9" s="248"/>
      <c r="C9" s="250"/>
      <c r="D9" s="32"/>
      <c r="E9" s="250"/>
      <c r="F9" s="254"/>
      <c r="G9" s="250"/>
      <c r="H9" s="256"/>
      <c r="I9" s="250"/>
      <c r="J9" s="254"/>
      <c r="K9" s="32"/>
      <c r="L9" s="32"/>
      <c r="M9" s="254"/>
      <c r="N9" s="254"/>
      <c r="O9" s="32"/>
      <c r="P9" s="32"/>
      <c r="Q9" s="32"/>
      <c r="R9" s="32"/>
    </row>
    <row r="10" spans="2:18" ht="17">
      <c r="B10" s="248"/>
      <c r="C10" s="250"/>
      <c r="D10" s="257"/>
      <c r="E10" s="250"/>
      <c r="F10" s="32"/>
      <c r="G10" s="250"/>
      <c r="H10" s="254"/>
      <c r="I10" s="250"/>
      <c r="J10" s="254"/>
      <c r="K10" s="254"/>
      <c r="L10" s="254"/>
      <c r="M10" s="254"/>
      <c r="N10" s="254"/>
      <c r="O10" s="32"/>
      <c r="P10" s="32"/>
      <c r="Q10" s="32"/>
      <c r="R10" s="32"/>
    </row>
    <row r="11" spans="2:18" ht="17">
      <c r="B11" s="248"/>
      <c r="C11" s="250"/>
      <c r="D11" s="254"/>
      <c r="E11" s="254"/>
      <c r="F11" s="254"/>
      <c r="G11" s="250"/>
      <c r="H11" s="254"/>
      <c r="I11" s="250"/>
      <c r="J11" s="250"/>
      <c r="K11" s="254"/>
      <c r="L11" s="254"/>
      <c r="M11" s="250"/>
      <c r="N11" s="254"/>
      <c r="O11" s="32"/>
      <c r="P11" s="32"/>
      <c r="Q11" s="32"/>
      <c r="R11" s="32"/>
    </row>
    <row r="12" spans="2:18" ht="17">
      <c r="B12" s="248"/>
      <c r="C12" s="250"/>
      <c r="D12" s="254"/>
      <c r="E12" s="250"/>
      <c r="F12" s="250"/>
      <c r="G12" s="250"/>
      <c r="H12" s="32"/>
      <c r="I12" s="250"/>
      <c r="J12" s="254"/>
      <c r="K12" s="254"/>
      <c r="L12" s="254"/>
      <c r="M12" s="250"/>
      <c r="N12" s="254"/>
      <c r="O12" s="32"/>
      <c r="P12" s="32"/>
      <c r="Q12" s="32"/>
      <c r="R12" s="32"/>
    </row>
    <row r="13" spans="2:18" ht="17">
      <c r="B13" s="248"/>
      <c r="C13" s="250"/>
      <c r="D13" s="254"/>
      <c r="E13" s="250"/>
      <c r="F13" s="250"/>
      <c r="G13" s="250"/>
      <c r="H13" s="254"/>
      <c r="I13" s="250"/>
      <c r="J13" s="250"/>
      <c r="K13" s="250"/>
      <c r="L13" s="254"/>
      <c r="M13" s="250"/>
      <c r="N13" s="254"/>
      <c r="O13" s="32"/>
      <c r="P13" s="32"/>
      <c r="Q13" s="32"/>
      <c r="R13" s="32"/>
    </row>
    <row r="14" spans="2:18" ht="17">
      <c r="B14" s="248"/>
      <c r="C14" s="250"/>
      <c r="D14" s="254"/>
      <c r="E14" s="250"/>
      <c r="F14" s="32"/>
      <c r="G14" s="250"/>
      <c r="H14" s="254"/>
      <c r="I14" s="250"/>
      <c r="J14" s="254"/>
      <c r="K14" s="254"/>
      <c r="L14" s="254"/>
      <c r="M14" s="254"/>
      <c r="N14" s="254"/>
      <c r="O14" s="32"/>
      <c r="P14" s="32"/>
      <c r="Q14" s="32"/>
      <c r="R14" s="32"/>
    </row>
    <row r="15" spans="2:18" ht="17">
      <c r="B15" s="248"/>
      <c r="C15" s="250"/>
      <c r="D15" s="254"/>
      <c r="E15" s="250"/>
      <c r="F15" s="254"/>
      <c r="G15" s="250"/>
      <c r="H15" s="254"/>
      <c r="I15" s="250"/>
      <c r="J15" s="254"/>
      <c r="K15" s="32"/>
      <c r="L15" s="254"/>
      <c r="M15" s="254"/>
      <c r="N15" s="254"/>
      <c r="O15" s="32"/>
      <c r="P15" s="32"/>
      <c r="Q15" s="32"/>
      <c r="R15" s="32"/>
    </row>
    <row r="16" spans="2:18" ht="17">
      <c r="B16" s="248"/>
      <c r="C16" s="250"/>
      <c r="D16" s="258"/>
      <c r="E16" s="254"/>
      <c r="F16" s="254"/>
      <c r="G16" s="250"/>
      <c r="H16" s="250"/>
      <c r="I16" s="259"/>
      <c r="J16" s="254"/>
      <c r="K16" s="254"/>
      <c r="L16" s="254"/>
      <c r="M16" s="254"/>
      <c r="N16" s="254"/>
      <c r="O16" s="32"/>
      <c r="P16" s="32"/>
      <c r="Q16" s="32"/>
      <c r="R16" s="32"/>
    </row>
    <row r="17" spans="2:18" ht="17">
      <c r="B17" s="248"/>
      <c r="C17" s="250"/>
      <c r="D17" s="257"/>
      <c r="E17" s="254"/>
      <c r="F17" s="254"/>
      <c r="G17" s="250"/>
      <c r="H17" s="250"/>
      <c r="I17" s="259"/>
      <c r="J17" s="254"/>
      <c r="K17" s="254"/>
      <c r="L17" s="254"/>
      <c r="M17" s="254"/>
      <c r="N17" s="254"/>
      <c r="O17" s="32"/>
      <c r="P17" s="32"/>
      <c r="Q17" s="32"/>
      <c r="R17" s="32"/>
    </row>
    <row r="18" spans="2:18" ht="17">
      <c r="B18" s="248"/>
      <c r="C18" s="250"/>
      <c r="D18" s="257"/>
      <c r="E18" s="250"/>
      <c r="F18" s="250"/>
      <c r="G18" s="250"/>
      <c r="H18" s="250"/>
      <c r="I18" s="250"/>
      <c r="J18" s="250"/>
      <c r="K18" s="250"/>
      <c r="L18" s="254"/>
      <c r="M18" s="254"/>
      <c r="N18" s="254"/>
      <c r="O18" s="32"/>
      <c r="P18" s="32"/>
      <c r="Q18" s="32"/>
      <c r="R18" s="32"/>
    </row>
    <row r="19" spans="2:18" ht="17">
      <c r="B19" s="248"/>
      <c r="C19" s="250"/>
      <c r="D19" s="254"/>
      <c r="E19" s="250"/>
      <c r="F19" s="250"/>
      <c r="G19" s="250"/>
      <c r="H19" s="250"/>
      <c r="I19" s="250"/>
      <c r="J19" s="250"/>
      <c r="K19" s="250"/>
      <c r="L19" s="254"/>
      <c r="M19" s="254"/>
      <c r="N19" s="254"/>
      <c r="O19" s="32"/>
      <c r="P19" s="32"/>
      <c r="Q19" s="32"/>
      <c r="R19" s="32"/>
    </row>
    <row r="20" spans="2:18" ht="17">
      <c r="B20" s="248"/>
      <c r="C20" s="250"/>
      <c r="D20" s="254"/>
      <c r="E20" s="250"/>
      <c r="F20" s="250"/>
      <c r="G20" s="250"/>
      <c r="H20" s="250"/>
      <c r="I20" s="250"/>
      <c r="J20" s="250"/>
      <c r="K20" s="250"/>
      <c r="L20" s="254"/>
      <c r="M20" s="254"/>
      <c r="N20" s="254"/>
      <c r="O20" s="32"/>
      <c r="P20" s="32"/>
      <c r="Q20" s="32"/>
      <c r="R20" s="32"/>
    </row>
    <row r="21" spans="2:18" ht="17">
      <c r="B21" s="248"/>
      <c r="C21" s="250"/>
      <c r="D21" s="254"/>
      <c r="E21" s="250"/>
      <c r="F21" s="250"/>
      <c r="G21" s="250"/>
      <c r="H21" s="250"/>
      <c r="I21" s="250"/>
      <c r="J21" s="250"/>
      <c r="K21" s="250"/>
      <c r="L21" s="254"/>
      <c r="M21" s="254"/>
      <c r="N21" s="254"/>
      <c r="O21" s="32"/>
      <c r="P21" s="32"/>
      <c r="Q21" s="32"/>
      <c r="R21" s="32"/>
    </row>
    <row r="22" spans="2:18" ht="17">
      <c r="B22" s="248"/>
      <c r="C22" s="250"/>
      <c r="D22" s="254"/>
      <c r="E22" s="250"/>
      <c r="F22" s="250"/>
      <c r="G22" s="250"/>
      <c r="H22" s="250"/>
      <c r="I22" s="250"/>
      <c r="J22" s="250"/>
      <c r="K22" s="250"/>
      <c r="L22" s="254"/>
      <c r="M22" s="254"/>
      <c r="N22" s="254"/>
      <c r="O22" s="32"/>
      <c r="P22" s="32"/>
      <c r="Q22" s="32"/>
      <c r="R22" s="32"/>
    </row>
    <row r="23" spans="2:18" ht="17">
      <c r="B23" s="248"/>
      <c r="C23" s="250"/>
      <c r="D23" s="260"/>
      <c r="E23" s="250"/>
      <c r="F23" s="250"/>
      <c r="G23" s="250"/>
      <c r="H23" s="250"/>
      <c r="I23" s="250"/>
      <c r="J23" s="250"/>
      <c r="K23" s="250"/>
      <c r="L23" s="254"/>
      <c r="M23" s="254"/>
      <c r="N23" s="254"/>
      <c r="O23" s="32"/>
      <c r="P23" s="32"/>
      <c r="Q23" s="32"/>
      <c r="R23" s="32"/>
    </row>
    <row r="24" spans="2:18" ht="17">
      <c r="B24" s="248"/>
      <c r="C24" s="250"/>
      <c r="D24" s="254"/>
      <c r="E24" s="250"/>
      <c r="F24" s="250"/>
      <c r="G24" s="250"/>
      <c r="H24" s="250"/>
      <c r="I24" s="250"/>
      <c r="J24" s="250"/>
      <c r="K24" s="250"/>
      <c r="L24" s="254"/>
      <c r="M24" s="254"/>
      <c r="N24" s="254"/>
      <c r="O24" s="32"/>
      <c r="P24" s="32"/>
      <c r="Q24" s="32"/>
      <c r="R24" s="32"/>
    </row>
    <row r="25" spans="2:18" ht="17">
      <c r="B25" s="248"/>
      <c r="C25" s="250">
        <f t="shared" ref="C25:D25" si="0">SUM(C3:C24)</f>
        <v>0</v>
      </c>
      <c r="D25" s="250">
        <f t="shared" si="0"/>
        <v>0</v>
      </c>
      <c r="E25" s="256">
        <f t="shared" ref="E25:O25" si="1">SUM(E3:E17)</f>
        <v>0</v>
      </c>
      <c r="F25" s="256">
        <f t="shared" si="1"/>
        <v>0</v>
      </c>
      <c r="G25" s="256">
        <f t="shared" si="1"/>
        <v>0</v>
      </c>
      <c r="H25" s="256">
        <f t="shared" si="1"/>
        <v>0</v>
      </c>
      <c r="I25" s="256">
        <f t="shared" si="1"/>
        <v>0</v>
      </c>
      <c r="J25" s="256">
        <f t="shared" si="1"/>
        <v>0</v>
      </c>
      <c r="K25" s="256">
        <f t="shared" si="1"/>
        <v>0</v>
      </c>
      <c r="L25" s="256">
        <f t="shared" si="1"/>
        <v>0</v>
      </c>
      <c r="M25" s="256">
        <f t="shared" si="1"/>
        <v>0</v>
      </c>
      <c r="N25" s="256">
        <f t="shared" si="1"/>
        <v>0</v>
      </c>
      <c r="O25" s="256">
        <f t="shared" si="1"/>
        <v>0</v>
      </c>
      <c r="P25" s="32"/>
      <c r="Q25" s="32"/>
      <c r="R25" s="32"/>
    </row>
    <row r="26" spans="2:18" ht="17">
      <c r="B26" s="248"/>
      <c r="C26" s="250"/>
      <c r="D26" s="250"/>
      <c r="E26" s="250"/>
      <c r="F26" s="250"/>
      <c r="G26" s="250"/>
      <c r="H26" s="250"/>
      <c r="I26" s="250"/>
      <c r="J26" s="254"/>
      <c r="K26" s="254"/>
      <c r="L26" s="254"/>
      <c r="M26" s="254"/>
      <c r="N26" s="254"/>
      <c r="O26" s="32"/>
      <c r="P26" s="32"/>
      <c r="Q26" s="32"/>
      <c r="R26" s="32"/>
    </row>
    <row r="27" spans="2:18" ht="17">
      <c r="B27" s="248"/>
      <c r="C27" s="250"/>
      <c r="D27" s="250"/>
      <c r="E27" s="250"/>
      <c r="F27" s="250"/>
      <c r="G27" s="250"/>
      <c r="H27" s="250"/>
      <c r="I27" s="250"/>
      <c r="J27" s="254"/>
      <c r="K27" s="254"/>
      <c r="L27" s="254"/>
      <c r="M27" s="254"/>
      <c r="N27" s="254"/>
      <c r="O27" s="32"/>
      <c r="P27" s="32"/>
      <c r="Q27" s="32"/>
      <c r="R27" s="32"/>
    </row>
    <row r="28" spans="2:18" ht="15.75" customHeight="1">
      <c r="B28" s="248"/>
      <c r="C28" s="250"/>
      <c r="D28" s="250"/>
      <c r="E28" s="250"/>
      <c r="F28" s="254"/>
      <c r="G28" s="250"/>
      <c r="H28" s="250"/>
      <c r="I28" s="250"/>
      <c r="J28" s="254"/>
      <c r="K28" s="254"/>
      <c r="L28" s="254"/>
      <c r="M28" s="254"/>
      <c r="N28" s="254"/>
      <c r="O28" s="32"/>
      <c r="P28" s="32"/>
      <c r="Q28" s="32"/>
      <c r="R28" s="32"/>
    </row>
    <row r="29" spans="2:18" ht="15.75" customHeight="1">
      <c r="B29" s="248"/>
      <c r="C29" s="250"/>
      <c r="D29" s="32"/>
      <c r="E29" s="32"/>
      <c r="F29" s="250"/>
      <c r="G29" s="250"/>
      <c r="H29" s="250"/>
      <c r="I29" s="250"/>
      <c r="J29" s="254"/>
      <c r="K29" s="254"/>
      <c r="L29" s="254"/>
      <c r="M29" s="254"/>
      <c r="N29" s="254"/>
      <c r="O29" s="32"/>
      <c r="P29" s="32"/>
      <c r="Q29" s="32"/>
      <c r="R29" s="32"/>
    </row>
    <row r="30" spans="2:18" ht="15.75" customHeight="1">
      <c r="B30" s="131"/>
      <c r="C30" s="250"/>
      <c r="D30" s="149"/>
      <c r="E30" s="156"/>
      <c r="F30" s="32"/>
      <c r="G30" s="250"/>
      <c r="H30" s="250"/>
      <c r="I30" s="250"/>
      <c r="J30" s="254"/>
      <c r="K30" s="254"/>
      <c r="L30" s="254"/>
      <c r="M30" s="254"/>
      <c r="N30" s="254"/>
      <c r="O30" s="32"/>
      <c r="P30" s="32"/>
      <c r="Q30" s="32"/>
      <c r="R30" s="32"/>
    </row>
    <row r="31" spans="2:18" ht="15.75" customHeight="1">
      <c r="B31" s="131"/>
      <c r="C31" s="250"/>
      <c r="D31" s="149"/>
      <c r="E31" s="156"/>
      <c r="F31" s="32"/>
      <c r="G31" s="250"/>
      <c r="H31" s="250"/>
      <c r="I31" s="250"/>
      <c r="J31" s="254"/>
      <c r="K31" s="254"/>
      <c r="L31" s="254"/>
      <c r="M31" s="254"/>
      <c r="N31" s="254"/>
      <c r="O31" s="32"/>
      <c r="P31" s="32"/>
      <c r="Q31" s="32"/>
      <c r="R31" s="32"/>
    </row>
    <row r="32" spans="2:18" ht="15.75" customHeight="1">
      <c r="B32" s="131"/>
      <c r="C32" s="250"/>
      <c r="D32" s="156"/>
      <c r="E32" s="250"/>
      <c r="F32" s="250"/>
      <c r="G32" s="250"/>
      <c r="H32" s="250"/>
      <c r="I32" s="250"/>
      <c r="J32" s="254"/>
      <c r="K32" s="254"/>
      <c r="L32" s="254"/>
      <c r="M32" s="254"/>
      <c r="N32" s="254"/>
      <c r="O32" s="32"/>
      <c r="P32" s="32"/>
      <c r="Q32" s="32"/>
      <c r="R32" s="32"/>
    </row>
    <row r="33" spans="2:22" ht="15.75" customHeight="1">
      <c r="B33" s="131"/>
      <c r="C33" s="131"/>
      <c r="D33" s="261"/>
      <c r="E33" s="131"/>
      <c r="F33" s="131"/>
      <c r="G33" s="250"/>
      <c r="H33" s="131"/>
      <c r="I33" s="262"/>
      <c r="J33" s="248"/>
      <c r="K33" s="248"/>
      <c r="L33" s="248"/>
      <c r="M33" s="248"/>
      <c r="N33" s="248"/>
    </row>
    <row r="34" spans="2:22" ht="15.75" customHeight="1">
      <c r="B34" s="248"/>
      <c r="C34" s="262"/>
      <c r="D34" s="32"/>
      <c r="E34" s="131"/>
      <c r="F34" s="131"/>
      <c r="G34" s="250"/>
      <c r="H34" s="131"/>
      <c r="I34" s="262"/>
      <c r="J34" s="248"/>
      <c r="K34" s="248"/>
      <c r="L34" s="248"/>
      <c r="M34" s="248"/>
      <c r="N34" s="248"/>
    </row>
    <row r="35" spans="2:22" ht="15.75" customHeight="1">
      <c r="B35" s="248"/>
      <c r="C35" s="262"/>
      <c r="D35" s="261"/>
      <c r="E35" s="131"/>
      <c r="F35" s="131"/>
      <c r="G35" s="250"/>
      <c r="H35" s="131"/>
      <c r="I35" s="262"/>
      <c r="J35" s="248"/>
      <c r="K35" s="248"/>
      <c r="L35" s="248"/>
      <c r="M35" s="248"/>
      <c r="N35" s="248"/>
    </row>
    <row r="36" spans="2:22" ht="15.75" customHeight="1">
      <c r="B36" s="248"/>
      <c r="C36" s="262"/>
      <c r="D36" s="251"/>
      <c r="E36" s="131"/>
      <c r="F36" s="131"/>
      <c r="G36" s="250"/>
      <c r="H36" s="131"/>
      <c r="I36" s="262"/>
      <c r="J36" s="248"/>
      <c r="K36" s="248"/>
      <c r="L36" s="248"/>
      <c r="M36" s="248"/>
      <c r="N36" s="248"/>
    </row>
    <row r="37" spans="2:22" ht="15.75" customHeight="1">
      <c r="B37" s="248"/>
      <c r="C37" s="263"/>
      <c r="D37" s="251"/>
      <c r="E37" s="131"/>
      <c r="F37" s="261"/>
      <c r="G37" s="250"/>
      <c r="H37" s="131"/>
      <c r="I37" s="262"/>
      <c r="J37" s="248"/>
      <c r="K37" s="248"/>
      <c r="L37" s="248"/>
      <c r="M37" s="248"/>
      <c r="N37" s="248"/>
    </row>
    <row r="38" spans="2:22" ht="15.75" customHeight="1">
      <c r="B38" s="248"/>
      <c r="C38" s="262"/>
      <c r="D38" s="124"/>
      <c r="E38" s="131"/>
      <c r="F38" s="264"/>
      <c r="G38" s="250"/>
      <c r="H38" s="131"/>
      <c r="I38" s="262"/>
      <c r="J38" s="248"/>
      <c r="K38" s="248"/>
      <c r="L38" s="248"/>
      <c r="M38" s="248"/>
      <c r="N38" s="248"/>
    </row>
    <row r="39" spans="2:22" ht="15.75" customHeight="1">
      <c r="B39" s="248"/>
      <c r="C39" s="262"/>
      <c r="D39" s="265"/>
      <c r="E39" s="131"/>
      <c r="F39" s="264"/>
      <c r="G39" s="250"/>
      <c r="H39" s="131"/>
      <c r="I39" s="262"/>
      <c r="J39" s="248"/>
      <c r="K39" s="248"/>
      <c r="L39" s="248"/>
      <c r="M39" s="248"/>
      <c r="N39" s="248"/>
    </row>
    <row r="40" spans="2:22" ht="15.75" customHeight="1">
      <c r="B40" s="248"/>
      <c r="C40" s="262"/>
      <c r="D40" s="265"/>
      <c r="E40" s="131"/>
      <c r="F40" s="143"/>
      <c r="G40" s="250"/>
      <c r="H40" s="131"/>
      <c r="I40" s="262"/>
      <c r="J40" s="248"/>
      <c r="K40" s="248"/>
      <c r="L40" s="248"/>
      <c r="M40" s="248"/>
      <c r="N40" s="248"/>
    </row>
    <row r="41" spans="2:22" ht="15.75" customHeight="1">
      <c r="B41" s="131"/>
      <c r="C41" s="131"/>
      <c r="D41" s="131"/>
      <c r="E41" s="131"/>
      <c r="F41" s="264"/>
      <c r="G41" s="131"/>
      <c r="H41" s="131"/>
      <c r="I41" s="131"/>
      <c r="J41" s="131"/>
      <c r="K41" s="131"/>
      <c r="L41" s="131"/>
      <c r="M41" s="131"/>
      <c r="N41" s="131"/>
      <c r="O41" s="65"/>
      <c r="P41" s="65"/>
      <c r="Q41" s="65"/>
      <c r="R41" s="65"/>
      <c r="S41" s="65"/>
      <c r="T41" s="65"/>
      <c r="U41" s="65"/>
      <c r="V41" s="65"/>
    </row>
    <row r="42" spans="2:22" ht="15.75" customHeight="1">
      <c r="B42" s="248"/>
      <c r="C42" s="262"/>
      <c r="D42" s="248"/>
      <c r="E42" s="131"/>
      <c r="F42" s="264"/>
      <c r="G42" s="250"/>
      <c r="H42" s="131"/>
      <c r="I42" s="262"/>
      <c r="J42" s="248"/>
      <c r="K42" s="248"/>
      <c r="L42" s="248"/>
      <c r="M42" s="248"/>
      <c r="N42" s="248"/>
    </row>
    <row r="43" spans="2:22" ht="15.75" customHeight="1">
      <c r="B43" s="131"/>
      <c r="C43" s="262"/>
      <c r="D43" s="131"/>
      <c r="E43" s="131"/>
      <c r="F43" s="131"/>
      <c r="G43" s="250"/>
      <c r="H43" s="131"/>
      <c r="I43" s="262"/>
      <c r="J43" s="248"/>
      <c r="K43" s="248"/>
      <c r="L43" s="248"/>
      <c r="M43" s="248"/>
      <c r="N43" s="248"/>
    </row>
    <row r="44" spans="2:22" ht="15.75" customHeight="1">
      <c r="B44" s="248"/>
      <c r="C44" s="262"/>
      <c r="D44" s="251"/>
      <c r="E44" s="262"/>
      <c r="F44" s="131"/>
      <c r="G44" s="250"/>
      <c r="H44" s="131"/>
      <c r="I44" s="262"/>
      <c r="J44" s="248"/>
      <c r="K44" s="248"/>
      <c r="L44" s="248"/>
      <c r="M44" s="248"/>
      <c r="N44" s="248"/>
    </row>
    <row r="45" spans="2:22" ht="15.75" customHeight="1">
      <c r="B45" s="248"/>
      <c r="C45" s="262"/>
      <c r="D45" s="131"/>
      <c r="E45" s="262"/>
      <c r="F45" s="131"/>
      <c r="G45" s="250"/>
      <c r="H45" s="131"/>
      <c r="I45" s="262"/>
      <c r="J45" s="248"/>
      <c r="K45" s="248"/>
      <c r="L45" s="248"/>
      <c r="M45" s="248"/>
      <c r="N45" s="248"/>
    </row>
    <row r="46" spans="2:22" ht="15.75" customHeight="1">
      <c r="B46" s="248"/>
      <c r="C46" s="262"/>
      <c r="D46" s="262"/>
      <c r="E46" s="251"/>
      <c r="F46" s="131"/>
      <c r="G46" s="262"/>
      <c r="H46" s="262"/>
      <c r="I46" s="131"/>
      <c r="J46" s="248"/>
      <c r="K46" s="248"/>
      <c r="L46" s="248"/>
      <c r="M46" s="248"/>
      <c r="N46" s="248"/>
    </row>
    <row r="47" spans="2:22" ht="15.75" customHeight="1">
      <c r="B47" s="266"/>
      <c r="C47" s="267"/>
      <c r="D47" s="250"/>
      <c r="E47" s="131"/>
      <c r="F47" s="262"/>
      <c r="G47" s="262"/>
      <c r="H47" s="262"/>
      <c r="I47" s="268"/>
      <c r="J47" s="248"/>
      <c r="K47" s="248"/>
      <c r="L47" s="248"/>
      <c r="M47" s="248"/>
      <c r="N47" s="248"/>
    </row>
    <row r="48" spans="2:22" ht="15.75" customHeight="1">
      <c r="B48" s="269"/>
      <c r="C48" s="267"/>
      <c r="D48" s="262"/>
      <c r="E48" s="251"/>
      <c r="F48" s="262"/>
      <c r="G48" s="262"/>
      <c r="H48" s="262"/>
      <c r="I48" s="262"/>
      <c r="J48" s="248"/>
      <c r="K48" s="248"/>
      <c r="L48" s="248"/>
      <c r="M48" s="248"/>
      <c r="N48" s="248"/>
    </row>
    <row r="49" spans="2:14" ht="15.75" customHeight="1">
      <c r="B49" s="266"/>
      <c r="C49" s="267"/>
      <c r="D49" s="250"/>
      <c r="E49" s="250"/>
      <c r="F49" s="250"/>
      <c r="G49" s="131"/>
      <c r="H49" s="250"/>
      <c r="I49" s="131"/>
      <c r="J49" s="250"/>
      <c r="K49" s="250"/>
      <c r="L49" s="250"/>
      <c r="M49" s="252"/>
      <c r="N49" s="248"/>
    </row>
    <row r="50" spans="2:14" ht="15.75" customHeight="1">
      <c r="B50" s="266"/>
      <c r="C50" s="267"/>
      <c r="D50" s="131"/>
      <c r="E50" s="250"/>
      <c r="F50" s="131"/>
      <c r="G50" s="262"/>
      <c r="H50" s="131"/>
      <c r="I50" s="262"/>
      <c r="J50" s="248"/>
      <c r="K50" s="248"/>
      <c r="L50" s="248"/>
      <c r="M50" s="248"/>
      <c r="N50" s="248"/>
    </row>
    <row r="51" spans="2:14" ht="15.75" customHeight="1">
      <c r="B51" s="266"/>
      <c r="C51" s="267"/>
      <c r="D51" s="250"/>
      <c r="E51" s="250"/>
      <c r="F51" s="262"/>
      <c r="G51" s="262"/>
      <c r="H51" s="131"/>
      <c r="I51" s="262"/>
      <c r="J51" s="248"/>
      <c r="K51" s="248"/>
      <c r="L51" s="248"/>
      <c r="M51" s="248"/>
      <c r="N51" s="248"/>
    </row>
    <row r="52" spans="2:14" ht="15.75" customHeight="1">
      <c r="B52" s="270"/>
      <c r="C52" s="267"/>
      <c r="D52" s="262"/>
      <c r="E52" s="251"/>
      <c r="F52" s="262"/>
      <c r="G52" s="262"/>
      <c r="H52" s="131"/>
      <c r="I52" s="262"/>
      <c r="J52" s="248"/>
      <c r="K52" s="248"/>
      <c r="L52" s="248"/>
      <c r="M52" s="248"/>
      <c r="N52" s="248"/>
    </row>
    <row r="53" spans="2:14" ht="15.75" customHeight="1">
      <c r="B53" s="271"/>
      <c r="C53" s="267"/>
      <c r="D53" s="262"/>
      <c r="E53" s="251"/>
      <c r="F53" s="262"/>
      <c r="G53" s="262"/>
      <c r="H53" s="131"/>
      <c r="I53" s="262"/>
      <c r="J53" s="248"/>
      <c r="K53" s="248"/>
      <c r="L53" s="248"/>
      <c r="M53" s="248"/>
      <c r="N53" s="248"/>
    </row>
    <row r="54" spans="2:14" ht="15.75" customHeight="1">
      <c r="B54" s="270"/>
      <c r="C54" s="267"/>
      <c r="D54" s="262"/>
      <c r="E54" s="251"/>
      <c r="F54" s="262"/>
      <c r="G54" s="262"/>
      <c r="H54" s="131"/>
      <c r="I54" s="262"/>
      <c r="J54" s="248"/>
      <c r="K54" s="248"/>
      <c r="L54" s="248"/>
      <c r="M54" s="248"/>
      <c r="N54" s="248"/>
    </row>
    <row r="55" spans="2:14" ht="15.75" customHeight="1">
      <c r="B55" s="266"/>
      <c r="C55" s="267"/>
      <c r="D55" s="131"/>
      <c r="E55" s="250"/>
      <c r="F55" s="131"/>
      <c r="G55" s="250"/>
      <c r="H55" s="131"/>
      <c r="I55" s="131"/>
      <c r="J55" s="248"/>
      <c r="K55" s="248"/>
      <c r="L55" s="248"/>
      <c r="M55" s="248"/>
      <c r="N55" s="248"/>
    </row>
    <row r="56" spans="2:14" ht="15.75" customHeight="1">
      <c r="B56" s="266"/>
      <c r="C56" s="267"/>
      <c r="D56" s="250"/>
      <c r="E56" s="250"/>
      <c r="F56" s="262"/>
      <c r="G56" s="262"/>
      <c r="H56" s="131"/>
      <c r="I56" s="131"/>
      <c r="J56" s="248"/>
      <c r="K56" s="248"/>
      <c r="L56" s="248"/>
      <c r="M56" s="248"/>
      <c r="N56" s="248"/>
    </row>
    <row r="57" spans="2:14" ht="15.75" customHeight="1">
      <c r="B57" s="269"/>
      <c r="C57" s="267"/>
      <c r="D57" s="250"/>
      <c r="E57" s="250"/>
      <c r="F57" s="262"/>
      <c r="G57" s="262"/>
      <c r="H57" s="262"/>
      <c r="I57" s="262"/>
      <c r="J57" s="248"/>
      <c r="K57" s="248"/>
      <c r="L57" s="248"/>
      <c r="M57" s="248"/>
      <c r="N57" s="248"/>
    </row>
    <row r="58" spans="2:14" ht="15.75" customHeight="1">
      <c r="B58" s="266"/>
      <c r="C58" s="267"/>
      <c r="D58" s="250"/>
      <c r="E58" s="250"/>
      <c r="F58" s="250"/>
      <c r="G58" s="262"/>
      <c r="H58" s="262"/>
      <c r="I58" s="262"/>
      <c r="J58" s="248"/>
      <c r="K58" s="248"/>
      <c r="L58" s="248"/>
      <c r="M58" s="248"/>
      <c r="N58" s="248"/>
    </row>
    <row r="59" spans="2:14" ht="15.75" customHeight="1">
      <c r="B59" s="248"/>
      <c r="C59" s="267"/>
      <c r="D59" s="262"/>
      <c r="E59" s="251"/>
      <c r="F59" s="262"/>
      <c r="G59" s="262"/>
      <c r="H59" s="262"/>
      <c r="I59" s="262"/>
      <c r="J59" s="248"/>
      <c r="K59" s="248"/>
      <c r="L59" s="248"/>
      <c r="M59" s="248"/>
      <c r="N59" s="248"/>
    </row>
    <row r="60" spans="2:14" ht="15.75" customHeight="1">
      <c r="B60" s="248"/>
      <c r="C60" s="262"/>
      <c r="D60" s="262"/>
      <c r="E60" s="251"/>
      <c r="F60" s="262"/>
      <c r="G60" s="262"/>
      <c r="H60" s="262"/>
      <c r="I60" s="262"/>
      <c r="J60" s="248"/>
      <c r="K60" s="248"/>
      <c r="L60" s="248"/>
      <c r="M60" s="248"/>
      <c r="N60" s="248"/>
    </row>
    <row r="61" spans="2:14" ht="15.75" customHeight="1">
      <c r="B61" s="248"/>
      <c r="C61" s="262"/>
      <c r="D61" s="262"/>
      <c r="E61" s="251"/>
      <c r="F61" s="262"/>
      <c r="G61" s="262"/>
      <c r="H61" s="262"/>
      <c r="I61" s="262"/>
      <c r="J61" s="248"/>
      <c r="K61" s="248"/>
      <c r="L61" s="248"/>
      <c r="M61" s="248"/>
      <c r="N61" s="248"/>
    </row>
    <row r="62" spans="2:14" ht="15.75" customHeight="1">
      <c r="B62" s="248"/>
      <c r="C62" s="262"/>
      <c r="D62" s="262"/>
      <c r="E62" s="251"/>
      <c r="F62" s="262"/>
      <c r="G62" s="262"/>
      <c r="H62" s="262"/>
      <c r="I62" s="262"/>
      <c r="J62" s="248"/>
      <c r="K62" s="248"/>
      <c r="L62" s="248"/>
      <c r="M62" s="248"/>
      <c r="N62" s="248"/>
    </row>
    <row r="63" spans="2:14" ht="15.75" customHeight="1">
      <c r="B63" s="248"/>
      <c r="C63" s="262"/>
      <c r="D63" s="262"/>
      <c r="E63" s="251"/>
      <c r="F63" s="262"/>
      <c r="G63" s="262"/>
      <c r="H63" s="262"/>
      <c r="I63" s="262"/>
      <c r="J63" s="248"/>
      <c r="K63" s="248"/>
      <c r="L63" s="248"/>
      <c r="M63" s="248"/>
      <c r="N63" s="248"/>
    </row>
    <row r="64" spans="2:14" ht="15.75" customHeight="1">
      <c r="B64" s="248"/>
      <c r="C64" s="262"/>
      <c r="D64" s="262"/>
      <c r="E64" s="251"/>
      <c r="F64" s="262"/>
      <c r="G64" s="262"/>
      <c r="H64" s="262"/>
      <c r="I64" s="262"/>
      <c r="J64" s="248"/>
      <c r="K64" s="248"/>
      <c r="L64" s="248"/>
      <c r="M64" s="248"/>
      <c r="N64" s="248"/>
    </row>
    <row r="65" spans="2:14" ht="15.75" customHeight="1">
      <c r="B65" s="248"/>
      <c r="C65" s="262"/>
      <c r="D65" s="262"/>
      <c r="E65" s="251"/>
      <c r="F65" s="262"/>
      <c r="G65" s="262"/>
      <c r="H65" s="262"/>
      <c r="I65" s="262"/>
      <c r="J65" s="248"/>
      <c r="K65" s="248"/>
      <c r="L65" s="248"/>
      <c r="M65" s="248"/>
      <c r="N65" s="248"/>
    </row>
    <row r="66" spans="2:14" ht="15.75" customHeight="1">
      <c r="B66" s="248"/>
      <c r="C66" s="262"/>
      <c r="D66" s="262"/>
      <c r="E66" s="251"/>
      <c r="F66" s="262"/>
      <c r="G66" s="262"/>
      <c r="H66" s="262"/>
      <c r="I66" s="262"/>
      <c r="J66" s="248"/>
      <c r="K66" s="248"/>
      <c r="L66" s="248"/>
      <c r="M66" s="248"/>
      <c r="N66" s="248"/>
    </row>
    <row r="67" spans="2:14" ht="15.75" customHeight="1">
      <c r="C67" s="118"/>
      <c r="D67" s="118"/>
      <c r="E67" s="79"/>
      <c r="F67" s="118"/>
      <c r="G67" s="118"/>
      <c r="H67" s="118"/>
      <c r="I67" s="118"/>
    </row>
    <row r="68" spans="2:14" ht="15.75" customHeight="1">
      <c r="C68" s="118"/>
      <c r="D68" s="118"/>
      <c r="E68" s="79"/>
      <c r="F68" s="118"/>
      <c r="G68" s="118"/>
      <c r="H68" s="118"/>
      <c r="I68" s="118"/>
    </row>
    <row r="69" spans="2:14" ht="15.75" customHeight="1">
      <c r="C69" s="118"/>
      <c r="D69" s="118"/>
      <c r="E69" s="79"/>
      <c r="F69" s="118"/>
      <c r="G69" s="118"/>
      <c r="H69" s="118"/>
      <c r="I69" s="118"/>
    </row>
    <row r="70" spans="2:14" ht="15.75" customHeight="1">
      <c r="C70" s="118"/>
      <c r="D70" s="118"/>
      <c r="E70" s="79"/>
      <c r="F70" s="118"/>
      <c r="G70" s="118"/>
      <c r="H70" s="118"/>
      <c r="I70" s="118"/>
    </row>
    <row r="71" spans="2:14" ht="15.75" customHeight="1">
      <c r="C71" s="118"/>
      <c r="D71" s="118"/>
      <c r="E71" s="79"/>
      <c r="F71" s="118"/>
      <c r="G71" s="118"/>
      <c r="H71" s="118"/>
      <c r="I71" s="118"/>
    </row>
    <row r="72" spans="2:14" ht="15.75" customHeight="1"/>
    <row r="73" spans="2:14" ht="15.75" customHeight="1"/>
    <row r="74" spans="2:14" ht="15.75" customHeight="1"/>
    <row r="75" spans="2:14" ht="15.75" customHeight="1"/>
    <row r="76" spans="2:14" ht="15.75" customHeight="1"/>
    <row r="77" spans="2:14" ht="15.75" customHeight="1"/>
    <row r="78" spans="2:14" ht="15.75" customHeight="1"/>
    <row r="79" spans="2:14" ht="15.75" customHeight="1"/>
    <row r="80" spans="2:1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">
    <mergeCell ref="C1:D1"/>
  </mergeCells>
  <pageMargins left="0.7" right="0.7" top="0.75" bottom="0.75" header="0" footer="0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5C91-2C37-407C-8E94-E877AECAE941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3723-56E7-4C6B-9A93-850D775EAF36}">
  <dimension ref="A1:U1000"/>
  <sheetViews>
    <sheetView topLeftCell="A36" zoomScale="70" zoomScaleNormal="70" workbookViewId="0">
      <pane xSplit="2" topLeftCell="C1" activePane="topRight" state="frozen"/>
      <selection pane="topRight" activeCell="G51" sqref="G51"/>
    </sheetView>
  </sheetViews>
  <sheetFormatPr defaultColWidth="14.453125" defaultRowHeight="15" customHeight="1"/>
  <cols>
    <col min="1" max="1" width="9.453125" style="289" customWidth="1"/>
    <col min="2" max="2" width="26.81640625" style="289" customWidth="1"/>
    <col min="3" max="3" width="21.7265625" style="289" customWidth="1"/>
    <col min="4" max="10" width="19.54296875" style="289" customWidth="1"/>
    <col min="11" max="16" width="20.7265625" style="289" customWidth="1"/>
    <col min="17" max="17" width="12.08984375" style="289" customWidth="1"/>
    <col min="18" max="18" width="8.7265625" style="289" customWidth="1"/>
    <col min="19" max="19" width="18" style="289" customWidth="1"/>
    <col min="20" max="20" width="19.7265625" style="289" customWidth="1"/>
    <col min="21" max="21" width="8.7265625" style="289" customWidth="1"/>
    <col min="22" max="16384" width="14.453125" style="289"/>
  </cols>
  <sheetData>
    <row r="1" spans="1:21" ht="14.5">
      <c r="A1" s="478" t="s">
        <v>24</v>
      </c>
      <c r="B1" s="478" t="s">
        <v>25</v>
      </c>
      <c r="C1" s="286" t="s">
        <v>60</v>
      </c>
      <c r="D1" s="286" t="s">
        <v>8</v>
      </c>
      <c r="E1" s="286" t="s">
        <v>27</v>
      </c>
      <c r="F1" s="286" t="s">
        <v>10</v>
      </c>
      <c r="G1" s="286" t="s">
        <v>28</v>
      </c>
      <c r="H1" s="286" t="s">
        <v>29</v>
      </c>
      <c r="I1" s="286" t="s">
        <v>30</v>
      </c>
      <c r="J1" s="286" t="s">
        <v>31</v>
      </c>
      <c r="K1" s="286" t="s">
        <v>32</v>
      </c>
      <c r="L1" s="286" t="s">
        <v>33</v>
      </c>
      <c r="M1" s="286" t="s">
        <v>34</v>
      </c>
      <c r="N1" s="286" t="s">
        <v>111</v>
      </c>
      <c r="O1" s="286" t="s">
        <v>36</v>
      </c>
      <c r="P1" s="287"/>
      <c r="Q1" s="287"/>
      <c r="R1" s="288"/>
      <c r="S1" s="288"/>
    </row>
    <row r="2" spans="1:21" ht="14.5">
      <c r="A2" s="479"/>
      <c r="B2" s="479"/>
      <c r="C2" s="375" t="s">
        <v>39</v>
      </c>
      <c r="D2" s="294" t="s">
        <v>39</v>
      </c>
      <c r="E2" s="294" t="s">
        <v>39</v>
      </c>
      <c r="F2" s="294" t="s">
        <v>39</v>
      </c>
      <c r="G2" s="294" t="s">
        <v>39</v>
      </c>
      <c r="H2" s="294" t="s">
        <v>39</v>
      </c>
      <c r="I2" s="294" t="s">
        <v>39</v>
      </c>
      <c r="J2" s="294" t="s">
        <v>39</v>
      </c>
      <c r="K2" s="294" t="s">
        <v>39</v>
      </c>
      <c r="L2" s="294" t="s">
        <v>39</v>
      </c>
      <c r="M2" s="294" t="s">
        <v>39</v>
      </c>
      <c r="N2" s="294" t="s">
        <v>39</v>
      </c>
      <c r="O2" s="294" t="s">
        <v>39</v>
      </c>
      <c r="P2" s="294" t="s">
        <v>39</v>
      </c>
      <c r="Q2" s="294" t="s">
        <v>39</v>
      </c>
      <c r="R2" s="288"/>
      <c r="S2" s="288"/>
    </row>
    <row r="3" spans="1:21" ht="24.75" customHeight="1">
      <c r="A3" s="290" t="s">
        <v>40</v>
      </c>
      <c r="B3" s="291" t="s">
        <v>41</v>
      </c>
      <c r="C3" s="292"/>
      <c r="D3" s="293"/>
      <c r="E3" s="294"/>
      <c r="F3" s="295"/>
      <c r="G3" s="296"/>
      <c r="H3" s="297"/>
      <c r="I3" s="297"/>
      <c r="J3" s="297"/>
      <c r="K3" s="297"/>
      <c r="L3" s="298"/>
      <c r="M3" s="298"/>
      <c r="N3" s="298"/>
      <c r="O3" s="298"/>
      <c r="P3" s="297"/>
      <c r="Q3" s="299"/>
      <c r="R3" s="288"/>
      <c r="S3" s="288"/>
    </row>
    <row r="4" spans="1:21" ht="24.75" customHeight="1">
      <c r="A4" s="300">
        <v>1</v>
      </c>
      <c r="B4" s="301" t="s">
        <v>4</v>
      </c>
      <c r="C4" s="302"/>
      <c r="D4" s="303">
        <f>1173117157+10450000</f>
        <v>1183567157</v>
      </c>
      <c r="E4" s="304">
        <f>1231474767+10650000</f>
        <v>1242124767</v>
      </c>
      <c r="F4" s="304">
        <f>1228206452+11350000</f>
        <v>1239556452</v>
      </c>
      <c r="G4" s="305">
        <f>1218637282+11450000</f>
        <v>1230087282</v>
      </c>
      <c r="H4" s="306">
        <f>1221399896+10760000</f>
        <v>1232159896</v>
      </c>
      <c r="I4" s="296">
        <f>1230153810+10810000</f>
        <v>1240963810</v>
      </c>
      <c r="J4" s="296">
        <f>1210990535+11010000</f>
        <v>1222000535</v>
      </c>
      <c r="K4" s="307">
        <f>1218727132+11060000</f>
        <v>1229787132</v>
      </c>
      <c r="L4" s="307">
        <f>1221067875+11110000</f>
        <v>1232177875</v>
      </c>
      <c r="M4" s="307">
        <f>1154766698+10510000</f>
        <v>1165276698</v>
      </c>
      <c r="N4" s="307">
        <f>1253850386+10760000</f>
        <v>1264610386</v>
      </c>
      <c r="O4" s="307">
        <f>1236834460+10610000</f>
        <v>1247444460</v>
      </c>
      <c r="P4" s="296">
        <f t="shared" ref="P4:P10" si="0">D4+E4+F4+G4+H4+I4+J4+K4+L4+M4+N4+O4</f>
        <v>14729756450</v>
      </c>
      <c r="Q4" s="308" t="e">
        <f>P4/C4</f>
        <v>#DIV/0!</v>
      </c>
      <c r="R4" s="288"/>
      <c r="S4" s="309"/>
      <c r="T4" s="310"/>
    </row>
    <row r="5" spans="1:21" ht="24.75" customHeight="1">
      <c r="A5" s="300">
        <v>2</v>
      </c>
      <c r="B5" s="311" t="s">
        <v>42</v>
      </c>
      <c r="C5" s="312"/>
      <c r="D5" s="313"/>
      <c r="E5" s="304"/>
      <c r="F5" s="304">
        <v>300450000</v>
      </c>
      <c r="G5" s="296">
        <f>51200008</f>
        <v>51200008</v>
      </c>
      <c r="H5" s="296"/>
      <c r="I5" s="296"/>
      <c r="J5" s="296"/>
      <c r="K5" s="296"/>
      <c r="L5" s="296"/>
      <c r="M5" s="296"/>
      <c r="N5" s="307"/>
      <c r="O5" s="296"/>
      <c r="P5" s="296">
        <f t="shared" si="0"/>
        <v>351650008</v>
      </c>
      <c r="Q5" s="308" t="e">
        <f>P5/C5</f>
        <v>#DIV/0!</v>
      </c>
      <c r="R5" s="288"/>
      <c r="S5" s="309"/>
    </row>
    <row r="6" spans="1:21" ht="24.75" customHeight="1">
      <c r="A6" s="300">
        <v>3</v>
      </c>
      <c r="B6" s="311" t="s">
        <v>43</v>
      </c>
      <c r="C6" s="311"/>
      <c r="D6" s="313"/>
      <c r="E6" s="304"/>
      <c r="F6" s="304"/>
      <c r="G6" s="296"/>
      <c r="H6" s="296"/>
      <c r="I6" s="377">
        <f>643603+400646</f>
        <v>1044249</v>
      </c>
      <c r="J6" s="314">
        <f>273700</f>
        <v>273700</v>
      </c>
      <c r="K6" s="307">
        <f>626764</f>
        <v>626764</v>
      </c>
      <c r="L6" s="307">
        <f>756559</f>
        <v>756559</v>
      </c>
      <c r="M6" s="307">
        <f>1766648</f>
        <v>1766648</v>
      </c>
      <c r="N6" s="307">
        <v>1092776</v>
      </c>
      <c r="O6" s="307"/>
      <c r="P6" s="296">
        <f t="shared" si="0"/>
        <v>5560696</v>
      </c>
      <c r="Q6" s="308" t="e">
        <f>P6/C6</f>
        <v>#DIV/0!</v>
      </c>
      <c r="R6" s="288"/>
      <c r="S6" s="309"/>
    </row>
    <row r="7" spans="1:21" ht="24.75" customHeight="1">
      <c r="A7" s="300">
        <v>4</v>
      </c>
      <c r="B7" s="311" t="s">
        <v>44</v>
      </c>
      <c r="C7" s="312"/>
      <c r="D7" s="313"/>
      <c r="E7" s="304"/>
      <c r="F7" s="304"/>
      <c r="G7" s="296"/>
      <c r="H7" s="315"/>
      <c r="I7" s="296"/>
      <c r="J7" s="296"/>
      <c r="K7" s="296"/>
      <c r="M7" s="296"/>
      <c r="N7" s="296"/>
      <c r="O7" s="296"/>
      <c r="P7" s="296">
        <f t="shared" si="0"/>
        <v>0</v>
      </c>
      <c r="Q7" s="308"/>
      <c r="R7" s="288"/>
      <c r="S7" s="309"/>
    </row>
    <row r="8" spans="1:21" ht="24.75" customHeight="1">
      <c r="A8" s="300">
        <v>5</v>
      </c>
      <c r="B8" s="311" t="s">
        <v>45</v>
      </c>
      <c r="C8" s="312"/>
      <c r="D8" s="313"/>
      <c r="E8" s="304"/>
      <c r="F8" s="304"/>
      <c r="G8" s="296"/>
      <c r="H8" s="315"/>
      <c r="I8" s="296"/>
      <c r="J8" s="296"/>
      <c r="K8" s="296"/>
      <c r="L8" s="296"/>
      <c r="M8" s="296"/>
      <c r="N8" s="296"/>
      <c r="O8" s="296"/>
      <c r="P8" s="296">
        <f t="shared" si="0"/>
        <v>0</v>
      </c>
      <c r="Q8" s="308" t="e">
        <f>P8/C8</f>
        <v>#DIV/0!</v>
      </c>
      <c r="R8" s="288"/>
      <c r="S8" s="309"/>
    </row>
    <row r="9" spans="1:21" ht="24.75" customHeight="1">
      <c r="A9" s="300">
        <v>6</v>
      </c>
      <c r="B9" s="311" t="s">
        <v>46</v>
      </c>
      <c r="C9" s="312"/>
      <c r="D9" s="313"/>
      <c r="E9" s="304"/>
      <c r="F9" s="304"/>
      <c r="G9" s="296">
        <f>444265000</f>
        <v>444265000</v>
      </c>
      <c r="H9" s="296"/>
      <c r="I9" s="296"/>
      <c r="J9" s="296"/>
      <c r="K9" s="296"/>
      <c r="L9" s="296"/>
      <c r="M9" s="296"/>
      <c r="N9" s="296"/>
      <c r="O9" s="296"/>
      <c r="P9" s="296">
        <f t="shared" si="0"/>
        <v>444265000</v>
      </c>
      <c r="Q9" s="308" t="e">
        <f>P9/C9</f>
        <v>#DIV/0!</v>
      </c>
      <c r="R9" s="288"/>
      <c r="S9" s="309" t="e">
        <f>#REF!+P9</f>
        <v>#REF!</v>
      </c>
    </row>
    <row r="10" spans="1:21" ht="24.75" customHeight="1">
      <c r="A10" s="300">
        <v>7</v>
      </c>
      <c r="B10" s="311" t="s">
        <v>47</v>
      </c>
      <c r="C10" s="312"/>
      <c r="D10" s="313"/>
      <c r="E10" s="304"/>
      <c r="F10" s="304"/>
      <c r="G10" s="296"/>
      <c r="H10" s="296"/>
      <c r="I10" s="296"/>
      <c r="J10" s="296"/>
      <c r="K10" s="307"/>
      <c r="L10" s="307"/>
      <c r="M10" s="316"/>
      <c r="N10" s="307"/>
      <c r="O10" s="307"/>
      <c r="P10" s="296">
        <f t="shared" si="0"/>
        <v>0</v>
      </c>
      <c r="Q10" s="308" t="e">
        <f>P10/C10</f>
        <v>#DIV/0!</v>
      </c>
      <c r="R10" s="288"/>
      <c r="S10" s="309"/>
    </row>
    <row r="11" spans="1:21" ht="24.75" customHeight="1">
      <c r="A11" s="317"/>
      <c r="B11" s="318" t="s">
        <v>48</v>
      </c>
      <c r="C11" s="319">
        <f>SUM(C4:C10)</f>
        <v>0</v>
      </c>
      <c r="D11" s="319">
        <f t="shared" ref="D11:O11" si="1">SUM(D4:D10)</f>
        <v>1183567157</v>
      </c>
      <c r="E11" s="319">
        <f t="shared" si="1"/>
        <v>1242124767</v>
      </c>
      <c r="F11" s="319">
        <f t="shared" si="1"/>
        <v>1540006452</v>
      </c>
      <c r="G11" s="319">
        <f t="shared" si="1"/>
        <v>1725552290</v>
      </c>
      <c r="H11" s="319">
        <f t="shared" si="1"/>
        <v>1232159896</v>
      </c>
      <c r="I11" s="319">
        <f t="shared" si="1"/>
        <v>1242008059</v>
      </c>
      <c r="J11" s="319">
        <f t="shared" si="1"/>
        <v>1222274235</v>
      </c>
      <c r="K11" s="319">
        <f t="shared" si="1"/>
        <v>1230413896</v>
      </c>
      <c r="L11" s="319">
        <f t="shared" si="1"/>
        <v>1232934434</v>
      </c>
      <c r="M11" s="319">
        <f t="shared" si="1"/>
        <v>1167043346</v>
      </c>
      <c r="N11" s="319">
        <f t="shared" si="1"/>
        <v>1265703162</v>
      </c>
      <c r="O11" s="319">
        <f t="shared" si="1"/>
        <v>1247444460</v>
      </c>
      <c r="P11" s="319">
        <f>SUM(P4:P10)</f>
        <v>15531232154</v>
      </c>
      <c r="Q11" s="320" t="e">
        <f>P11/C11</f>
        <v>#DIV/0!</v>
      </c>
      <c r="R11" s="288"/>
      <c r="S11" s="309"/>
    </row>
    <row r="12" spans="1:21" ht="24.75" customHeight="1">
      <c r="A12" s="317"/>
      <c r="B12" s="318"/>
      <c r="C12" s="318"/>
      <c r="D12" s="321"/>
      <c r="E12" s="321"/>
      <c r="F12" s="321"/>
      <c r="G12" s="322"/>
      <c r="H12" s="321"/>
      <c r="I12" s="321"/>
      <c r="J12" s="321"/>
      <c r="K12" s="321"/>
      <c r="L12" s="321"/>
      <c r="M12" s="321"/>
      <c r="N12" s="321"/>
      <c r="O12" s="323"/>
      <c r="P12" s="321"/>
      <c r="Q12" s="324"/>
      <c r="R12" s="288"/>
      <c r="S12" s="309"/>
    </row>
    <row r="13" spans="1:21" ht="24.75" customHeight="1">
      <c r="A13" s="290" t="s">
        <v>49</v>
      </c>
      <c r="B13" s="291" t="s">
        <v>50</v>
      </c>
      <c r="C13" s="292"/>
      <c r="D13" s="325"/>
      <c r="E13" s="321"/>
      <c r="F13" s="304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326"/>
      <c r="R13" s="288"/>
      <c r="S13" s="309"/>
    </row>
    <row r="14" spans="1:21" ht="24.75" customHeight="1">
      <c r="A14" s="300">
        <v>1</v>
      </c>
      <c r="B14" s="311" t="s">
        <v>43</v>
      </c>
      <c r="C14" s="311"/>
      <c r="D14" s="313">
        <f>(174307223-10450000-5000000-54123667)+7061000+86716888</f>
        <v>198511444</v>
      </c>
      <c r="E14" s="304">
        <f>114467333-10650000-777778+32546222</f>
        <v>135585777</v>
      </c>
      <c r="F14" s="304">
        <f>792113889-311850000-9050000-184000000-10000000-70877778-1315000+6142221+87080889</f>
        <v>298244221</v>
      </c>
      <c r="G14" s="304">
        <f>526437118-62650008-3138889-5000000-11944444-40708000-5000000-228633444+975970669-2500000-7650000-58232777-47293667-16155556-55266556+32555000</f>
        <v>990789446</v>
      </c>
      <c r="H14" s="304">
        <f>186825421+642135110+7826000-507053-292222-36145000-1855000-2000000-568889-2050000-54000000-39274444-11665368</f>
        <v>688428555</v>
      </c>
      <c r="I14" s="296">
        <f>(189202112-10826667-723334-4210000-2500000)+(68929556-4415000)+5777777</f>
        <v>241234444</v>
      </c>
      <c r="J14" s="296">
        <f>290141945-11010000+44682667+5049778-2584500-27777778</f>
        <v>298502112</v>
      </c>
      <c r="K14" s="307">
        <f>236073612-11060000-5555556+23646111+1736111-2532500-25555556</f>
        <v>216752222</v>
      </c>
      <c r="L14" s="307">
        <f>515121922-11110000-427778+1141111+125944001-5555556-3900001-1666667-67777778-2888889-139367500-1638889</f>
        <v>407873976</v>
      </c>
      <c r="M14" s="307">
        <f>910031458-10510000+2655000+405806652-1333333-1111111-1805556-16000000-98764-23423741</f>
        <v>1264210605</v>
      </c>
      <c r="N14" s="307">
        <f>553929482-10760000-5791111-2000000-107559205-138000000+82328111</f>
        <v>372147277</v>
      </c>
      <c r="O14" s="307">
        <f>3550751690-10610000-91340445-96318246+146747221-2000000</f>
        <v>3497230220</v>
      </c>
      <c r="P14" s="296">
        <f>D14+E14+F14+G14+H14+I14+J14+K14+L14+M14+N14+O14</f>
        <v>8609510299</v>
      </c>
      <c r="Q14" s="308" t="e">
        <f t="shared" ref="Q14:Q20" si="2">P14/C14</f>
        <v>#DIV/0!</v>
      </c>
      <c r="R14" s="288"/>
      <c r="S14" s="309"/>
      <c r="T14" s="327"/>
      <c r="U14" s="328"/>
    </row>
    <row r="15" spans="1:21" ht="24.75" customHeight="1">
      <c r="A15" s="300">
        <v>2</v>
      </c>
      <c r="B15" s="311" t="s">
        <v>51</v>
      </c>
      <c r="C15" s="312"/>
      <c r="D15" s="313">
        <f>5000000+54123667</f>
        <v>59123667</v>
      </c>
      <c r="E15" s="304">
        <f>3010000+777778</f>
        <v>3787778</v>
      </c>
      <c r="F15" s="329">
        <f>50000+9050000+3000000+184000000+10000000+70877778+1315000</f>
        <v>278292778</v>
      </c>
      <c r="G15" s="296">
        <f>353870000+3138889+5000000+11944444+40708000+5000000+228633444+2500000+7650000+58232777+47293667+16155556+55266556</f>
        <v>835393333</v>
      </c>
      <c r="H15" s="296">
        <f>507053+292222+36145000+1855000+2000000+568889+2050000+54000000+39274444+905368+2950000</f>
        <v>140547976</v>
      </c>
      <c r="I15" s="296">
        <f>44055000+723334+4415000+4210000+16667+2500000</f>
        <v>55920001</v>
      </c>
      <c r="J15" s="296">
        <f>7070000+2584500+27777778</f>
        <v>37432278</v>
      </c>
      <c r="K15" s="296">
        <f>5555556+2532500+25555556</f>
        <v>33643612</v>
      </c>
      <c r="L15" s="330">
        <f>427778+180000+5555556+3900001+1666667+67777778+2888889+139367500+1638889</f>
        <v>223403058</v>
      </c>
      <c r="M15" s="331">
        <f>2900000+1333333+1111111+1805556+16000000+98764+23423741</f>
        <v>46672505</v>
      </c>
      <c r="N15" s="330">
        <f>5791111+138000000+2000000+107559205</f>
        <v>253350316</v>
      </c>
      <c r="O15" s="330">
        <f>2000000+46980000+91340445+96318246</f>
        <v>236638691</v>
      </c>
      <c r="P15" s="296">
        <f>D15+E15+F15+G15+H15+I15+J15+K15+L15+M15+N15+O15</f>
        <v>2204205993</v>
      </c>
      <c r="Q15" s="308" t="e">
        <f t="shared" si="2"/>
        <v>#DIV/0!</v>
      </c>
      <c r="R15" s="288"/>
      <c r="S15" s="309"/>
      <c r="T15" s="328"/>
      <c r="U15" s="332"/>
    </row>
    <row r="16" spans="1:21" ht="24.75" customHeight="1">
      <c r="A16" s="300">
        <v>3</v>
      </c>
      <c r="B16" s="311" t="s">
        <v>52</v>
      </c>
      <c r="C16" s="312"/>
      <c r="D16" s="313"/>
      <c r="E16" s="304"/>
      <c r="F16" s="304"/>
      <c r="G16" s="296"/>
      <c r="H16" s="296"/>
      <c r="I16" s="296"/>
      <c r="J16" s="296"/>
      <c r="K16" s="296"/>
      <c r="L16" s="296"/>
      <c r="M16" s="296"/>
      <c r="N16" s="296"/>
      <c r="O16" s="307"/>
      <c r="P16" s="296">
        <f>D16+E16+F16+G16+H16+I16+J16+K16+L16+M16+N16+O16</f>
        <v>0</v>
      </c>
      <c r="Q16" s="308" t="e">
        <f t="shared" si="2"/>
        <v>#DIV/0!</v>
      </c>
      <c r="R16" s="288"/>
      <c r="S16" s="309"/>
      <c r="T16" s="333"/>
      <c r="U16" s="334"/>
    </row>
    <row r="17" spans="1:21" ht="24.75" customHeight="1">
      <c r="A17" s="300">
        <v>4</v>
      </c>
      <c r="B17" s="311" t="s">
        <v>53</v>
      </c>
      <c r="C17" s="304"/>
      <c r="D17" s="313"/>
      <c r="E17" s="304"/>
      <c r="F17" s="304"/>
      <c r="G17" s="296"/>
      <c r="H17" s="296"/>
      <c r="I17" s="296"/>
      <c r="J17" s="296"/>
      <c r="K17" s="335"/>
      <c r="L17" s="307"/>
      <c r="M17" s="316"/>
      <c r="N17" s="307"/>
      <c r="O17" s="307"/>
      <c r="P17" s="296">
        <f>D17+E17+F17+G17+H17+I17+J17+K17+L17+M17+N17+O17</f>
        <v>0</v>
      </c>
      <c r="Q17" s="308" t="e">
        <f t="shared" si="2"/>
        <v>#DIV/0!</v>
      </c>
      <c r="R17" s="288"/>
      <c r="S17" s="309"/>
      <c r="T17" s="333"/>
      <c r="U17" s="336"/>
    </row>
    <row r="18" spans="1:21" ht="24.75" customHeight="1">
      <c r="A18" s="300">
        <v>5</v>
      </c>
      <c r="B18" s="311" t="s">
        <v>54</v>
      </c>
      <c r="C18" s="312"/>
      <c r="D18" s="313"/>
      <c r="E18" s="321"/>
      <c r="F18" s="304"/>
      <c r="G18" s="296"/>
      <c r="H18" s="296"/>
      <c r="I18" s="296">
        <v>405640000</v>
      </c>
      <c r="J18" s="296"/>
      <c r="K18" s="296"/>
      <c r="L18" s="296"/>
      <c r="M18" s="296"/>
      <c r="N18" s="296"/>
      <c r="O18" s="307"/>
      <c r="P18" s="296">
        <f>D18+E18+F18+G18+H18+I18+J18+K18+L18+M18+N18+O18</f>
        <v>405640000</v>
      </c>
      <c r="Q18" s="308" t="e">
        <f t="shared" si="2"/>
        <v>#DIV/0!</v>
      </c>
      <c r="R18" s="288"/>
      <c r="S18" s="309"/>
      <c r="T18" s="333"/>
      <c r="U18" s="337"/>
    </row>
    <row r="19" spans="1:21" ht="24.75" customHeight="1">
      <c r="A19" s="317"/>
      <c r="B19" s="292" t="s">
        <v>55</v>
      </c>
      <c r="C19" s="319">
        <f t="shared" ref="C19:P19" si="3">SUM(C14:C18)</f>
        <v>0</v>
      </c>
      <c r="D19" s="319">
        <f t="shared" si="3"/>
        <v>257635111</v>
      </c>
      <c r="E19" s="319">
        <f t="shared" si="3"/>
        <v>139373555</v>
      </c>
      <c r="F19" s="319">
        <f t="shared" si="3"/>
        <v>576536999</v>
      </c>
      <c r="G19" s="319">
        <f t="shared" si="3"/>
        <v>1826182779</v>
      </c>
      <c r="H19" s="319">
        <f t="shared" si="3"/>
        <v>828976531</v>
      </c>
      <c r="I19" s="319">
        <f t="shared" si="3"/>
        <v>702794445</v>
      </c>
      <c r="J19" s="319">
        <f t="shared" si="3"/>
        <v>335934390</v>
      </c>
      <c r="K19" s="319">
        <f t="shared" si="3"/>
        <v>250395834</v>
      </c>
      <c r="L19" s="319">
        <f t="shared" si="3"/>
        <v>631277034</v>
      </c>
      <c r="M19" s="319">
        <f t="shared" si="3"/>
        <v>1310883110</v>
      </c>
      <c r="N19" s="319">
        <f t="shared" si="3"/>
        <v>625497593</v>
      </c>
      <c r="O19" s="319">
        <f t="shared" si="3"/>
        <v>3733868911</v>
      </c>
      <c r="P19" s="319">
        <f t="shared" si="3"/>
        <v>11219356292</v>
      </c>
      <c r="Q19" s="320" t="e">
        <f t="shared" si="2"/>
        <v>#DIV/0!</v>
      </c>
      <c r="R19" s="288"/>
      <c r="S19" s="309"/>
      <c r="T19" s="333"/>
      <c r="U19" s="337"/>
    </row>
    <row r="20" spans="1:21" ht="24.75" customHeight="1">
      <c r="A20" s="317"/>
      <c r="B20" s="292" t="s">
        <v>56</v>
      </c>
      <c r="C20" s="319">
        <f t="shared" ref="C20:P20" si="4">C19+C11</f>
        <v>0</v>
      </c>
      <c r="D20" s="319">
        <f>D19+D11</f>
        <v>1441202268</v>
      </c>
      <c r="E20" s="319">
        <f>E19+E11</f>
        <v>1381498322</v>
      </c>
      <c r="F20" s="319">
        <f>F19+F11</f>
        <v>2116543451</v>
      </c>
      <c r="G20" s="319">
        <f t="shared" si="4"/>
        <v>3551735069</v>
      </c>
      <c r="H20" s="319">
        <f t="shared" si="4"/>
        <v>2061136427</v>
      </c>
      <c r="I20" s="319">
        <f t="shared" si="4"/>
        <v>1944802504</v>
      </c>
      <c r="J20" s="319">
        <f t="shared" si="4"/>
        <v>1558208625</v>
      </c>
      <c r="K20" s="319">
        <f t="shared" si="4"/>
        <v>1480809730</v>
      </c>
      <c r="L20" s="319">
        <f t="shared" si="4"/>
        <v>1864211468</v>
      </c>
      <c r="M20" s="319">
        <f t="shared" si="4"/>
        <v>2477926456</v>
      </c>
      <c r="N20" s="319">
        <f t="shared" si="4"/>
        <v>1891200755</v>
      </c>
      <c r="O20" s="319">
        <f t="shared" si="4"/>
        <v>4981313371</v>
      </c>
      <c r="P20" s="319">
        <f t="shared" si="4"/>
        <v>26750588446</v>
      </c>
      <c r="Q20" s="320" t="e">
        <f t="shared" si="2"/>
        <v>#DIV/0!</v>
      </c>
      <c r="R20" s="288"/>
      <c r="S20" s="309"/>
      <c r="T20" s="333"/>
      <c r="U20" s="338"/>
    </row>
    <row r="21" spans="1:21" ht="15.75" customHeight="1">
      <c r="A21" s="339"/>
      <c r="B21" s="340"/>
      <c r="C21" s="341"/>
      <c r="D21" s="376"/>
      <c r="E21" s="342"/>
      <c r="F21" s="342"/>
      <c r="G21" s="341"/>
      <c r="H21" s="343">
        <f>2061136427-H20</f>
        <v>0</v>
      </c>
      <c r="I21" s="343">
        <f>1944802504-I20</f>
        <v>0</v>
      </c>
      <c r="J21" s="343"/>
      <c r="L21" s="340"/>
      <c r="M21" s="340"/>
      <c r="N21" s="340"/>
      <c r="O21" s="340"/>
      <c r="P21" s="344"/>
      <c r="Q21" s="340"/>
      <c r="R21" s="288"/>
      <c r="S21" s="309"/>
      <c r="T21" s="345"/>
      <c r="U21" s="338"/>
    </row>
    <row r="22" spans="1:21" ht="15.75" customHeight="1">
      <c r="A22" s="346"/>
      <c r="B22" s="346"/>
      <c r="C22" s="346"/>
      <c r="D22" s="347"/>
      <c r="E22" s="347"/>
      <c r="F22" s="347"/>
      <c r="G22" s="347"/>
      <c r="H22" s="347"/>
      <c r="I22" s="347"/>
      <c r="J22" s="347"/>
      <c r="K22" s="347"/>
      <c r="L22" s="347"/>
      <c r="M22" s="348"/>
      <c r="N22" s="480"/>
      <c r="O22" s="480"/>
      <c r="P22" s="333"/>
      <c r="Q22" s="346"/>
      <c r="R22" s="333"/>
      <c r="S22" s="309"/>
      <c r="T22" s="338"/>
      <c r="U22" s="338"/>
    </row>
    <row r="23" spans="1:21" ht="15.75" customHeight="1">
      <c r="A23" s="346"/>
      <c r="B23" s="346"/>
      <c r="C23" s="346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51"/>
      <c r="P23" s="333"/>
      <c r="Q23" s="333"/>
      <c r="S23" s="309"/>
      <c r="T23" s="338"/>
      <c r="U23" s="338"/>
    </row>
    <row r="24" spans="1:21" ht="15.75" customHeight="1">
      <c r="A24" s="346"/>
      <c r="B24" s="346"/>
      <c r="C24" s="346" t="s">
        <v>112</v>
      </c>
      <c r="E24" s="333"/>
      <c r="F24" s="333"/>
      <c r="G24" s="333"/>
      <c r="H24" s="343"/>
      <c r="I24" s="352"/>
      <c r="J24" s="352"/>
      <c r="K24" s="352"/>
      <c r="L24" s="353"/>
      <c r="M24" s="353"/>
      <c r="N24" s="354"/>
      <c r="O24" s="353"/>
      <c r="P24" s="343"/>
      <c r="Q24" s="346"/>
      <c r="S24" s="309"/>
      <c r="T24" s="338"/>
      <c r="U24" s="338"/>
    </row>
    <row r="25" spans="1:21" ht="15.75" customHeight="1">
      <c r="A25" s="346"/>
      <c r="B25" s="346" t="s">
        <v>64</v>
      </c>
      <c r="C25" s="355" t="s">
        <v>113</v>
      </c>
      <c r="D25" s="347"/>
      <c r="E25" s="347"/>
      <c r="F25" s="356"/>
      <c r="G25" s="333"/>
      <c r="H25" s="347"/>
      <c r="I25" s="347"/>
      <c r="J25" s="347"/>
      <c r="K25" s="344"/>
      <c r="M25" s="357"/>
      <c r="N25" s="353"/>
      <c r="O25" s="353"/>
      <c r="P25" s="358"/>
      <c r="Q25" s="346"/>
      <c r="T25" s="338"/>
      <c r="U25" s="338"/>
    </row>
    <row r="26" spans="1:21" ht="15.75" customHeight="1">
      <c r="A26" s="346"/>
      <c r="B26" s="346" t="s">
        <v>65</v>
      </c>
      <c r="C26" s="359"/>
      <c r="D26" s="360"/>
      <c r="E26" s="346"/>
      <c r="F26" s="350"/>
      <c r="G26" s="352"/>
      <c r="H26" s="346"/>
      <c r="I26" s="346"/>
      <c r="J26" s="346"/>
      <c r="K26" s="361"/>
      <c r="L26" s="362"/>
      <c r="M26" s="363"/>
      <c r="N26" s="352"/>
      <c r="O26" s="363"/>
      <c r="P26" s="346"/>
      <c r="Q26" s="346"/>
    </row>
    <row r="27" spans="1:21" ht="15.75" customHeight="1">
      <c r="A27" s="346"/>
      <c r="B27" s="346" t="s">
        <v>66</v>
      </c>
      <c r="C27" s="359"/>
      <c r="D27" s="364"/>
      <c r="E27" s="360"/>
      <c r="F27" s="350"/>
      <c r="G27" s="365"/>
      <c r="H27" s="366"/>
      <c r="I27" s="358"/>
      <c r="J27" s="358"/>
      <c r="K27" s="361"/>
      <c r="L27" s="344"/>
      <c r="M27" s="363"/>
      <c r="N27" s="367"/>
      <c r="O27" s="353"/>
      <c r="P27" s="347"/>
      <c r="Q27" s="366"/>
      <c r="R27" s="338"/>
      <c r="S27" s="338"/>
      <c r="T27" s="338"/>
    </row>
    <row r="28" spans="1:21" ht="15.75" customHeight="1">
      <c r="A28" s="346"/>
      <c r="B28" s="346" t="s">
        <v>67</v>
      </c>
      <c r="C28" s="359"/>
      <c r="D28" s="364"/>
      <c r="E28" s="360"/>
      <c r="F28" s="350"/>
      <c r="G28" s="365"/>
      <c r="H28" s="366"/>
      <c r="I28" s="366"/>
      <c r="J28" s="343"/>
      <c r="K28" s="361"/>
      <c r="L28" s="368"/>
      <c r="M28" s="363"/>
      <c r="N28" s="353"/>
      <c r="O28" s="353"/>
      <c r="P28" s="366"/>
      <c r="Q28" s="366"/>
      <c r="R28" s="338"/>
      <c r="S28" s="338"/>
      <c r="T28" s="338"/>
    </row>
    <row r="29" spans="1:21" ht="15.75" customHeight="1">
      <c r="A29" s="346"/>
      <c r="B29" s="346" t="s">
        <v>68</v>
      </c>
      <c r="C29" s="346"/>
      <c r="E29" s="360"/>
      <c r="F29" s="350"/>
      <c r="G29" s="365"/>
      <c r="H29" s="366"/>
      <c r="I29" s="347"/>
      <c r="J29" s="369"/>
      <c r="K29" s="361"/>
      <c r="L29" s="344"/>
      <c r="M29" s="363"/>
      <c r="N29" s="361"/>
      <c r="O29" s="363"/>
      <c r="P29" s="366"/>
      <c r="Q29" s="366"/>
      <c r="R29" s="338"/>
      <c r="S29" s="338"/>
      <c r="T29" s="338"/>
    </row>
    <row r="30" spans="1:21" ht="15.75" customHeight="1">
      <c r="A30" s="346"/>
      <c r="B30" s="346" t="s">
        <v>114</v>
      </c>
      <c r="C30" s="346"/>
      <c r="D30" s="364"/>
      <c r="E30" s="360"/>
      <c r="F30" s="350"/>
      <c r="G30" s="365"/>
      <c r="H30" s="346"/>
      <c r="I30" s="346"/>
      <c r="J30" s="369"/>
      <c r="K30" s="361"/>
      <c r="L30" s="350"/>
      <c r="M30" s="369"/>
      <c r="N30" s="369"/>
      <c r="O30" s="369"/>
      <c r="P30" s="346"/>
      <c r="Q30" s="346"/>
    </row>
    <row r="31" spans="1:21" ht="15.75" customHeight="1">
      <c r="A31" s="346"/>
      <c r="B31" s="346"/>
      <c r="C31" s="346"/>
      <c r="D31" s="364"/>
      <c r="E31" s="360"/>
      <c r="F31" s="350"/>
      <c r="G31" s="365"/>
      <c r="H31" s="346"/>
      <c r="I31" s="346"/>
      <c r="J31" s="369"/>
      <c r="K31" s="346"/>
      <c r="M31" s="346"/>
      <c r="O31" s="346"/>
      <c r="P31" s="346"/>
      <c r="Q31" s="346"/>
    </row>
    <row r="32" spans="1:21" ht="15.75" customHeight="1">
      <c r="A32" s="346"/>
      <c r="B32" s="370"/>
      <c r="C32" s="346"/>
      <c r="D32" s="364"/>
      <c r="E32" s="360"/>
      <c r="G32" s="346"/>
      <c r="H32" s="346"/>
      <c r="I32" s="346"/>
      <c r="J32" s="369"/>
      <c r="K32" s="346"/>
      <c r="L32" s="350"/>
      <c r="M32" s="351"/>
      <c r="N32" s="346"/>
      <c r="O32" s="346"/>
      <c r="P32" s="346"/>
      <c r="Q32" s="346"/>
    </row>
    <row r="33" spans="4:12" ht="15.75" customHeight="1">
      <c r="D33" s="364"/>
      <c r="I33" s="371"/>
      <c r="J33" s="369"/>
      <c r="L33" s="344"/>
    </row>
    <row r="34" spans="4:12" ht="15.75" customHeight="1">
      <c r="L34" s="344"/>
    </row>
    <row r="35" spans="4:12" ht="15.75" customHeight="1">
      <c r="L35" s="344"/>
    </row>
    <row r="36" spans="4:12" ht="15.75" customHeight="1"/>
    <row r="37" spans="4:12" ht="15.75" customHeight="1"/>
    <row r="38" spans="4:12" ht="15.75" customHeight="1"/>
    <row r="39" spans="4:12" ht="15.75" customHeight="1"/>
    <row r="40" spans="4:12" ht="15.75" customHeight="1"/>
    <row r="41" spans="4:12" ht="15.75" customHeight="1"/>
    <row r="42" spans="4:12" ht="15.75" customHeight="1">
      <c r="F42" s="327"/>
      <c r="G42" s="328"/>
    </row>
    <row r="43" spans="4:12" ht="15.75" customHeight="1">
      <c r="F43" s="327"/>
      <c r="G43" s="328"/>
    </row>
    <row r="44" spans="4:12" ht="15.75" customHeight="1">
      <c r="F44" s="327"/>
      <c r="G44" s="328"/>
    </row>
    <row r="45" spans="4:12" ht="15.75" customHeight="1">
      <c r="F45" s="327"/>
      <c r="G45" s="328"/>
    </row>
    <row r="46" spans="4:12" ht="15.75" customHeight="1">
      <c r="F46" s="327"/>
      <c r="G46" s="328"/>
    </row>
    <row r="47" spans="4:12" ht="15.75" customHeight="1">
      <c r="F47" s="327"/>
      <c r="G47" s="328"/>
    </row>
    <row r="48" spans="4:12" ht="15.75" customHeight="1">
      <c r="F48" s="372"/>
      <c r="G48" s="373"/>
    </row>
    <row r="49" spans="6:7" ht="15.75" customHeight="1">
      <c r="F49" s="372"/>
      <c r="G49" s="373"/>
    </row>
    <row r="50" spans="6:7" ht="15.75" customHeight="1">
      <c r="F50" s="372"/>
      <c r="G50" s="328"/>
    </row>
    <row r="51" spans="6:7" ht="15.75" customHeight="1">
      <c r="F51" s="327"/>
      <c r="G51" s="332"/>
    </row>
    <row r="52" spans="6:7" ht="15.75" customHeight="1">
      <c r="F52" s="327"/>
      <c r="G52" s="328"/>
    </row>
    <row r="53" spans="6:7" ht="15.75" customHeight="1">
      <c r="F53" s="327"/>
      <c r="G53" s="328"/>
    </row>
    <row r="54" spans="6:7" ht="15.75" customHeight="1">
      <c r="F54" s="327"/>
      <c r="G54" s="328"/>
    </row>
    <row r="55" spans="6:7" ht="15.75" customHeight="1"/>
    <row r="56" spans="6:7" ht="15.75" customHeight="1"/>
    <row r="57" spans="6:7" ht="15.75" customHeight="1"/>
    <row r="58" spans="6:7" ht="15.75" customHeight="1"/>
    <row r="59" spans="6:7" ht="15.75" customHeight="1"/>
    <row r="60" spans="6:7" ht="15.75" customHeight="1"/>
    <row r="61" spans="6:7" ht="15.75" customHeight="1"/>
    <row r="62" spans="6:7" ht="15.75" customHeight="1"/>
    <row r="63" spans="6:7" ht="15.75" customHeight="1"/>
    <row r="64" spans="6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A2"/>
    <mergeCell ref="B1:B2"/>
    <mergeCell ref="N22:O22"/>
  </mergeCells>
  <pageMargins left="0.25650916104146582" right="0.47251687560270011" top="1" bottom="1" header="0" footer="0"/>
  <pageSetup paperSize="5" scale="3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5604-FA99-4FAC-9713-A3CDDD24041F}">
  <dimension ref="A1:U1000"/>
  <sheetViews>
    <sheetView topLeftCell="A6" zoomScale="70" zoomScaleNormal="70" workbookViewId="0">
      <pane xSplit="2" topLeftCell="M1" activePane="topRight" state="frozen"/>
      <selection pane="topRight" activeCell="M10" sqref="M10"/>
    </sheetView>
  </sheetViews>
  <sheetFormatPr defaultColWidth="14.453125" defaultRowHeight="15" customHeight="1"/>
  <cols>
    <col min="1" max="1" width="9.453125" style="380" customWidth="1"/>
    <col min="2" max="2" width="26.81640625" style="380" customWidth="1"/>
    <col min="3" max="3" width="21.7265625" style="380" customWidth="1"/>
    <col min="4" max="10" width="19.54296875" style="380" customWidth="1"/>
    <col min="11" max="16" width="20.7265625" style="380" customWidth="1"/>
    <col min="17" max="17" width="12.08984375" style="380" customWidth="1"/>
    <col min="18" max="18" width="8.7265625" style="380" customWidth="1"/>
    <col min="19" max="19" width="18" style="380" customWidth="1"/>
    <col min="20" max="20" width="19.7265625" style="380" customWidth="1"/>
    <col min="21" max="21" width="8.7265625" style="380" customWidth="1"/>
    <col min="22" max="16384" width="14.453125" style="380"/>
  </cols>
  <sheetData>
    <row r="1" spans="1:21" ht="14.5">
      <c r="A1" s="483" t="s">
        <v>24</v>
      </c>
      <c r="B1" s="483" t="s">
        <v>25</v>
      </c>
      <c r="C1" s="481" t="s">
        <v>60</v>
      </c>
      <c r="D1" s="481" t="s">
        <v>8</v>
      </c>
      <c r="E1" s="481" t="s">
        <v>27</v>
      </c>
      <c r="F1" s="481" t="s">
        <v>10</v>
      </c>
      <c r="G1" s="481" t="s">
        <v>28</v>
      </c>
      <c r="H1" s="481" t="s">
        <v>29</v>
      </c>
      <c r="I1" s="481" t="s">
        <v>30</v>
      </c>
      <c r="J1" s="481" t="s">
        <v>31</v>
      </c>
      <c r="K1" s="481" t="s">
        <v>32</v>
      </c>
      <c r="L1" s="481" t="s">
        <v>33</v>
      </c>
      <c r="M1" s="481" t="s">
        <v>34</v>
      </c>
      <c r="N1" s="481" t="s">
        <v>111</v>
      </c>
      <c r="O1" s="481" t="s">
        <v>36</v>
      </c>
      <c r="P1" s="378"/>
      <c r="Q1" s="378"/>
      <c r="R1" s="379"/>
      <c r="S1" s="379"/>
    </row>
    <row r="2" spans="1:21" ht="14.5">
      <c r="A2" s="484"/>
      <c r="B2" s="484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381" t="s">
        <v>39</v>
      </c>
      <c r="Q2" s="381" t="s">
        <v>39</v>
      </c>
      <c r="R2" s="379"/>
      <c r="S2" s="379"/>
    </row>
    <row r="3" spans="1:21" ht="24.75" customHeight="1">
      <c r="A3" s="382" t="s">
        <v>40</v>
      </c>
      <c r="B3" s="383" t="s">
        <v>41</v>
      </c>
      <c r="C3" s="384"/>
      <c r="D3" s="385"/>
      <c r="E3" s="381"/>
      <c r="F3" s="386"/>
      <c r="G3" s="387"/>
      <c r="H3" s="388"/>
      <c r="I3" s="388"/>
      <c r="J3" s="388"/>
      <c r="K3" s="388"/>
      <c r="L3" s="389"/>
      <c r="M3" s="389"/>
      <c r="N3" s="389"/>
      <c r="O3" s="389"/>
      <c r="P3" s="388"/>
      <c r="Q3" s="390"/>
      <c r="R3" s="379"/>
      <c r="S3" s="379"/>
    </row>
    <row r="4" spans="1:21" ht="24.75" customHeight="1">
      <c r="A4" s="391">
        <v>1</v>
      </c>
      <c r="B4" s="392" t="s">
        <v>4</v>
      </c>
      <c r="C4" s="393"/>
      <c r="D4" s="394">
        <f>1684280290+675000</f>
        <v>1684955290</v>
      </c>
      <c r="E4" s="395">
        <f>1828195797+675000</f>
        <v>1828870797</v>
      </c>
      <c r="F4" s="395">
        <f>1821375323+675000</f>
        <v>1822050323</v>
      </c>
      <c r="G4" s="396">
        <f>1813684074+675000</f>
        <v>1814359074</v>
      </c>
      <c r="H4" s="397">
        <f>1790148338+975000</f>
        <v>1791123338</v>
      </c>
      <c r="I4" s="387">
        <f>1807410033+925000</f>
        <v>1808335033</v>
      </c>
      <c r="J4" s="387">
        <f>1784984205+1225000</f>
        <v>1786209205</v>
      </c>
      <c r="K4" s="398">
        <f>1794506688+1275000</f>
        <v>1795781688</v>
      </c>
      <c r="L4" s="398">
        <f>1791157331+1175000</f>
        <v>1792332331</v>
      </c>
      <c r="M4" s="398">
        <f>1641333709+1175000</f>
        <v>1642508709</v>
      </c>
      <c r="N4" s="398">
        <f>1812217291+1100000</f>
        <v>1813317291</v>
      </c>
      <c r="O4" s="398">
        <f>1793378152+1100000</f>
        <v>1794478152</v>
      </c>
      <c r="P4" s="387">
        <f t="shared" ref="P4:P10" si="0">D4+E4+F4+G4+H4+I4+J4+K4+L4+M4+N4+O4</f>
        <v>21374321231</v>
      </c>
      <c r="Q4" s="399" t="e">
        <f>P4/C4</f>
        <v>#DIV/0!</v>
      </c>
      <c r="R4" s="379"/>
      <c r="S4" s="400"/>
      <c r="T4" s="401"/>
    </row>
    <row r="5" spans="1:21" ht="24.75" customHeight="1">
      <c r="A5" s="391">
        <v>2</v>
      </c>
      <c r="B5" s="402" t="s">
        <v>42</v>
      </c>
      <c r="C5" s="403"/>
      <c r="D5" s="404"/>
      <c r="E5" s="395"/>
      <c r="F5" s="395">
        <f>2000000+41950002</f>
        <v>43950002</v>
      </c>
      <c r="G5" s="387">
        <f>295550000</f>
        <v>295550000</v>
      </c>
      <c r="H5" s="387"/>
      <c r="I5" s="387"/>
      <c r="J5" s="387"/>
      <c r="K5" s="387"/>
      <c r="L5" s="387"/>
      <c r="M5" s="387"/>
      <c r="N5" s="398"/>
      <c r="O5" s="387"/>
      <c r="P5" s="387">
        <f t="shared" si="0"/>
        <v>339500002</v>
      </c>
      <c r="Q5" s="399" t="e">
        <f>P5/C5</f>
        <v>#DIV/0!</v>
      </c>
      <c r="R5" s="379"/>
      <c r="S5" s="400"/>
    </row>
    <row r="6" spans="1:21" ht="24.75" customHeight="1">
      <c r="A6" s="391">
        <v>3</v>
      </c>
      <c r="B6" s="402" t="s">
        <v>43</v>
      </c>
      <c r="C6" s="402"/>
      <c r="D6" s="404"/>
      <c r="E6" s="395"/>
      <c r="F6" s="395"/>
      <c r="G6" s="387">
        <f>100000</f>
        <v>100000</v>
      </c>
      <c r="H6" s="387"/>
      <c r="I6" s="405"/>
      <c r="J6" s="405">
        <f>100000</f>
        <v>100000</v>
      </c>
      <c r="K6" s="398"/>
      <c r="L6" s="398"/>
      <c r="M6" s="398"/>
      <c r="N6" s="398"/>
      <c r="O6" s="398"/>
      <c r="P6" s="387">
        <f t="shared" si="0"/>
        <v>200000</v>
      </c>
      <c r="Q6" s="399" t="e">
        <f>P6/C6</f>
        <v>#DIV/0!</v>
      </c>
      <c r="R6" s="379"/>
      <c r="S6" s="400"/>
    </row>
    <row r="7" spans="1:21" ht="24.75" customHeight="1">
      <c r="A7" s="391">
        <v>4</v>
      </c>
      <c r="B7" s="402" t="s">
        <v>44</v>
      </c>
      <c r="C7" s="403"/>
      <c r="D7" s="404"/>
      <c r="E7" s="395"/>
      <c r="F7" s="395"/>
      <c r="G7" s="387"/>
      <c r="H7" s="406"/>
      <c r="I7" s="387"/>
      <c r="J7" s="387"/>
      <c r="K7" s="387"/>
      <c r="M7" s="387"/>
      <c r="N7" s="387"/>
      <c r="O7" s="387"/>
      <c r="P7" s="387">
        <f t="shared" si="0"/>
        <v>0</v>
      </c>
      <c r="Q7" s="399"/>
      <c r="R7" s="379"/>
      <c r="S7" s="400"/>
    </row>
    <row r="8" spans="1:21" ht="24.75" customHeight="1">
      <c r="A8" s="391">
        <v>5</v>
      </c>
      <c r="B8" s="402" t="s">
        <v>45</v>
      </c>
      <c r="C8" s="403"/>
      <c r="D8" s="404"/>
      <c r="E8" s="395"/>
      <c r="F8" s="395"/>
      <c r="G8" s="387"/>
      <c r="H8" s="406"/>
      <c r="I8" s="387"/>
      <c r="J8" s="387"/>
      <c r="K8" s="387"/>
      <c r="L8" s="387"/>
      <c r="M8" s="387"/>
      <c r="N8" s="387"/>
      <c r="O8" s="387"/>
      <c r="P8" s="387">
        <f t="shared" si="0"/>
        <v>0</v>
      </c>
      <c r="Q8" s="399" t="e">
        <f>P8/C8</f>
        <v>#DIV/0!</v>
      </c>
      <c r="R8" s="379"/>
      <c r="S8" s="400"/>
    </row>
    <row r="9" spans="1:21" ht="24.75" customHeight="1">
      <c r="A9" s="391">
        <v>6</v>
      </c>
      <c r="B9" s="402" t="s">
        <v>46</v>
      </c>
      <c r="C9" s="403"/>
      <c r="D9" s="404"/>
      <c r="E9" s="395"/>
      <c r="F9" s="395"/>
      <c r="G9" s="387">
        <f>545145000</f>
        <v>545145000</v>
      </c>
      <c r="H9" s="387"/>
      <c r="I9" s="387">
        <v>4750000</v>
      </c>
      <c r="J9" s="387"/>
      <c r="K9" s="387"/>
      <c r="L9" s="387"/>
      <c r="M9" s="387"/>
      <c r="N9" s="387"/>
      <c r="O9" s="387"/>
      <c r="P9" s="387">
        <f t="shared" si="0"/>
        <v>549895000</v>
      </c>
      <c r="Q9" s="399" t="e">
        <f>P9/C9</f>
        <v>#DIV/0!</v>
      </c>
      <c r="R9" s="379"/>
      <c r="S9" s="400" t="e">
        <f>#REF!+P9</f>
        <v>#REF!</v>
      </c>
    </row>
    <row r="10" spans="1:21" ht="24.75" customHeight="1">
      <c r="A10" s="391">
        <v>7</v>
      </c>
      <c r="B10" s="402" t="s">
        <v>47</v>
      </c>
      <c r="C10" s="403"/>
      <c r="D10" s="404"/>
      <c r="E10" s="395"/>
      <c r="F10" s="395"/>
      <c r="G10" s="387"/>
      <c r="H10" s="387"/>
      <c r="I10" s="387"/>
      <c r="J10" s="387"/>
      <c r="K10" s="398"/>
      <c r="L10" s="398"/>
      <c r="M10" s="407"/>
      <c r="N10" s="398"/>
      <c r="O10" s="398"/>
      <c r="P10" s="387">
        <f t="shared" si="0"/>
        <v>0</v>
      </c>
      <c r="Q10" s="399" t="e">
        <f>P10/C10</f>
        <v>#DIV/0!</v>
      </c>
      <c r="R10" s="379"/>
      <c r="S10" s="400"/>
    </row>
    <row r="11" spans="1:21" ht="24.75" customHeight="1">
      <c r="A11" s="408"/>
      <c r="B11" s="409" t="s">
        <v>48</v>
      </c>
      <c r="C11" s="410">
        <f>SUM(C4:C10)</f>
        <v>0</v>
      </c>
      <c r="D11" s="410">
        <f t="shared" ref="D11:O11" si="1">SUM(D4:D10)</f>
        <v>1684955290</v>
      </c>
      <c r="E11" s="410">
        <f t="shared" si="1"/>
        <v>1828870797</v>
      </c>
      <c r="F11" s="410">
        <f t="shared" si="1"/>
        <v>1866000325</v>
      </c>
      <c r="G11" s="410">
        <f t="shared" si="1"/>
        <v>2655154074</v>
      </c>
      <c r="H11" s="410">
        <f t="shared" si="1"/>
        <v>1791123338</v>
      </c>
      <c r="I11" s="410">
        <f t="shared" si="1"/>
        <v>1813085033</v>
      </c>
      <c r="J11" s="410">
        <f t="shared" si="1"/>
        <v>1786309205</v>
      </c>
      <c r="K11" s="410">
        <f t="shared" si="1"/>
        <v>1795781688</v>
      </c>
      <c r="L11" s="410">
        <f t="shared" si="1"/>
        <v>1792332331</v>
      </c>
      <c r="M11" s="410">
        <f t="shared" si="1"/>
        <v>1642508709</v>
      </c>
      <c r="N11" s="410">
        <f t="shared" si="1"/>
        <v>1813317291</v>
      </c>
      <c r="O11" s="410">
        <f t="shared" si="1"/>
        <v>1794478152</v>
      </c>
      <c r="P11" s="410">
        <f>SUM(P4:P10)</f>
        <v>22263916233</v>
      </c>
      <c r="Q11" s="411" t="e">
        <f>P11/C11</f>
        <v>#DIV/0!</v>
      </c>
      <c r="R11" s="379"/>
      <c r="S11" s="400"/>
    </row>
    <row r="12" spans="1:21" ht="24.75" customHeight="1">
      <c r="A12" s="408"/>
      <c r="B12" s="409"/>
      <c r="C12" s="409"/>
      <c r="D12" s="412"/>
      <c r="E12" s="412"/>
      <c r="F12" s="412"/>
      <c r="G12" s="413"/>
      <c r="H12" s="412"/>
      <c r="I12" s="412"/>
      <c r="J12" s="412"/>
      <c r="K12" s="412"/>
      <c r="L12" s="412"/>
      <c r="M12" s="412"/>
      <c r="N12" s="412"/>
      <c r="O12" s="414"/>
      <c r="P12" s="412"/>
      <c r="Q12" s="415"/>
      <c r="R12" s="379"/>
      <c r="S12" s="400"/>
    </row>
    <row r="13" spans="1:21" ht="24.75" customHeight="1">
      <c r="A13" s="382" t="s">
        <v>49</v>
      </c>
      <c r="B13" s="383" t="s">
        <v>50</v>
      </c>
      <c r="C13" s="384"/>
      <c r="D13" s="416"/>
      <c r="E13" s="412"/>
      <c r="F13" s="395"/>
      <c r="G13" s="387"/>
      <c r="H13" s="387"/>
      <c r="I13" s="387"/>
      <c r="J13" s="387"/>
      <c r="K13" s="387"/>
      <c r="L13" s="387"/>
      <c r="M13" s="387"/>
      <c r="N13" s="387"/>
      <c r="O13" s="387"/>
      <c r="P13" s="387"/>
      <c r="Q13" s="417"/>
      <c r="R13" s="379"/>
      <c r="S13" s="400"/>
    </row>
    <row r="14" spans="1:21" ht="24.75" customHeight="1">
      <c r="A14" s="391">
        <v>1</v>
      </c>
      <c r="B14" s="402" t="s">
        <v>43</v>
      </c>
      <c r="C14" s="402"/>
      <c r="D14" s="404">
        <f>86733000-55743000+200000+94523000</f>
        <v>125713000</v>
      </c>
      <c r="E14" s="395">
        <f>56358799+1000000+18900000-14489355-675000-12394444</f>
        <v>48700000</v>
      </c>
      <c r="F14" s="395">
        <f>117635526-51440526-15000000-9300000+17070000+128436334</f>
        <v>187401334</v>
      </c>
      <c r="G14" s="395">
        <f>1136802985+1881324555+550000-308308561-759002867-897449444-3953000-10050000-406000-2777778-8240001-5892056-78500-387000</f>
        <v>1022132333</v>
      </c>
      <c r="H14" s="395">
        <f>61250144-18459588-1970000-84667221-6355556+818579111+2425000</f>
        <v>770801890</v>
      </c>
      <c r="I14" s="387">
        <f>48662248-21964748+269568444+6885000-5440000</f>
        <v>297710944</v>
      </c>
      <c r="J14" s="387">
        <f>50400107-34490662-2777778-1666667+178375889+137655334</f>
        <v>327496223</v>
      </c>
      <c r="K14" s="398">
        <f>49090000-14905000+55081111+936056452-731919-7355000-533836200-3000000-17950000-5000000-4300000</f>
        <v>453149444</v>
      </c>
      <c r="L14" s="398">
        <f>369940600-9880600+19220000+1131105682-144980000-608208500-172460000-6000000-15555556-22500000</f>
        <v>540681626</v>
      </c>
      <c r="M14" s="398">
        <f>168338223-104223000-511153-12750000-51613800-2950000-5000000-5611112-11111111-7400000+20904889+412726286</f>
        <v>400799222</v>
      </c>
      <c r="N14" s="398">
        <f>120275722-91283500-11000000-6555555-1111111-9555556-7745000-8400000+950000+117877111</f>
        <v>103452111</v>
      </c>
      <c r="O14" s="398">
        <f>209441223+20248000+246773668-34390000-7465000-4610000-4555556-34388889-5555556-20494445</f>
        <v>365003445</v>
      </c>
      <c r="P14" s="387">
        <f>D14+E14+F14+G14+H14+I14+J14+K14+L14+M14+N14+O14</f>
        <v>4643041572</v>
      </c>
      <c r="Q14" s="399" t="e">
        <f t="shared" ref="Q14:Q20" si="2">P14/C14</f>
        <v>#DIV/0!</v>
      </c>
      <c r="R14" s="379"/>
      <c r="S14" s="400"/>
      <c r="T14" s="418"/>
      <c r="U14" s="419"/>
    </row>
    <row r="15" spans="1:21" ht="24.75" customHeight="1">
      <c r="A15" s="391">
        <v>2</v>
      </c>
      <c r="B15" s="402" t="s">
        <v>51</v>
      </c>
      <c r="C15" s="403"/>
      <c r="D15" s="404">
        <f>55068000+48500000</f>
        <v>103568000</v>
      </c>
      <c r="E15" s="395">
        <f>14489355+12394444+1000000</f>
        <v>27883799</v>
      </c>
      <c r="F15" s="420">
        <f>8815524+15000000+9300000+2500000</f>
        <v>35615524</v>
      </c>
      <c r="G15" s="387">
        <f>12083561+759002867+897449444+3953000+10050000+406000+2777778+8240001+5892056+78500+387000+61285000</f>
        <v>1761605207</v>
      </c>
      <c r="H15" s="387">
        <f>12184588+5300000+1970000+84667221+6355556+3500000</f>
        <v>113977365</v>
      </c>
      <c r="I15" s="387">
        <f>21039748+5440000+2000000</f>
        <v>28479748</v>
      </c>
      <c r="J15" s="387">
        <f>33265662+2777778+1666667+10965000</f>
        <v>48675107</v>
      </c>
      <c r="K15" s="387">
        <f>13630000+731919+7355000+533836200+3000000+17950000+5000000+4300000+10000000</f>
        <v>595803119</v>
      </c>
      <c r="L15" s="421">
        <f>8705600+144980000+608208500+172460000+6000000+15555556+22500000+10100000</f>
        <v>988509656</v>
      </c>
      <c r="M15" s="422">
        <f>103048000+511153+12750000+51613800+2950000+5000000+5611112+11111111+7400000+2500000</f>
        <v>202495176</v>
      </c>
      <c r="N15" s="421">
        <f>21600000+11000000+6555555+1111111+9555556+7745000+8400000+90183500</f>
        <v>156150722</v>
      </c>
      <c r="O15" s="421">
        <f>33290000+7465000+4610000+4555556+34388889+5555556+20494445+23400000</f>
        <v>133759446</v>
      </c>
      <c r="P15" s="387">
        <f>D15+E15+F15+G15+H15+I15+J15+K15+L15+M15+N15+O15</f>
        <v>4196522869</v>
      </c>
      <c r="Q15" s="399" t="e">
        <f t="shared" si="2"/>
        <v>#DIV/0!</v>
      </c>
      <c r="R15" s="379"/>
      <c r="S15" s="400"/>
      <c r="T15" s="419"/>
      <c r="U15" s="423"/>
    </row>
    <row r="16" spans="1:21" ht="24.75" customHeight="1">
      <c r="A16" s="391">
        <v>3</v>
      </c>
      <c r="B16" s="402" t="s">
        <v>52</v>
      </c>
      <c r="C16" s="403"/>
      <c r="D16" s="404"/>
      <c r="E16" s="395"/>
      <c r="F16" s="395"/>
      <c r="G16" s="387"/>
      <c r="H16" s="387"/>
      <c r="I16" s="387"/>
      <c r="J16" s="387"/>
      <c r="K16" s="387"/>
      <c r="L16" s="387"/>
      <c r="M16" s="387"/>
      <c r="N16" s="387"/>
      <c r="O16" s="398"/>
      <c r="P16" s="387">
        <f>D16+E16+F16+G16+H16+I16+J16+K16+L16+M16+N16+O16</f>
        <v>0</v>
      </c>
      <c r="Q16" s="399" t="e">
        <f t="shared" si="2"/>
        <v>#DIV/0!</v>
      </c>
      <c r="R16" s="379"/>
      <c r="S16" s="400"/>
      <c r="T16" s="424"/>
      <c r="U16" s="425"/>
    </row>
    <row r="17" spans="1:21" ht="24.75" customHeight="1">
      <c r="A17" s="391">
        <v>4</v>
      </c>
      <c r="B17" s="402" t="s">
        <v>53</v>
      </c>
      <c r="C17" s="395"/>
      <c r="D17" s="404"/>
      <c r="E17" s="395"/>
      <c r="F17" s="395"/>
      <c r="G17" s="387"/>
      <c r="H17" s="387"/>
      <c r="I17" s="387"/>
      <c r="J17" s="387"/>
      <c r="K17" s="426"/>
      <c r="L17" s="398"/>
      <c r="M17" s="407"/>
      <c r="N17" s="398"/>
      <c r="O17" s="398"/>
      <c r="P17" s="387">
        <f>D17+E17+F17+G17+H17+I17+J17+K17+L17+M17+N17+O17</f>
        <v>0</v>
      </c>
      <c r="Q17" s="399" t="e">
        <f t="shared" si="2"/>
        <v>#DIV/0!</v>
      </c>
      <c r="R17" s="379"/>
      <c r="S17" s="400"/>
      <c r="T17" s="424"/>
      <c r="U17" s="427"/>
    </row>
    <row r="18" spans="1:21" ht="24.75" customHeight="1">
      <c r="A18" s="391">
        <v>5</v>
      </c>
      <c r="B18" s="402" t="s">
        <v>54</v>
      </c>
      <c r="C18" s="403"/>
      <c r="D18" s="404"/>
      <c r="E18" s="412"/>
      <c r="F18" s="395"/>
      <c r="G18" s="387"/>
      <c r="H18" s="387"/>
      <c r="I18" s="387"/>
      <c r="J18" s="387">
        <f>39750000</f>
        <v>39750000</v>
      </c>
      <c r="K18" s="387"/>
      <c r="L18" s="387"/>
      <c r="M18" s="387"/>
      <c r="N18" s="387"/>
      <c r="O18" s="398"/>
      <c r="P18" s="387">
        <f>D18+E18+F18+G18+H18+I18+J18+K18+L18+M18+N18+O18</f>
        <v>39750000</v>
      </c>
      <c r="Q18" s="399" t="e">
        <f t="shared" si="2"/>
        <v>#DIV/0!</v>
      </c>
      <c r="R18" s="379"/>
      <c r="S18" s="400"/>
      <c r="T18" s="424"/>
      <c r="U18" s="428"/>
    </row>
    <row r="19" spans="1:21" ht="24.75" customHeight="1">
      <c r="A19" s="408"/>
      <c r="B19" s="384" t="s">
        <v>55</v>
      </c>
      <c r="C19" s="410">
        <f t="shared" ref="C19:P19" si="3">SUM(C14:C18)</f>
        <v>0</v>
      </c>
      <c r="D19" s="410">
        <f t="shared" si="3"/>
        <v>229281000</v>
      </c>
      <c r="E19" s="410">
        <f t="shared" si="3"/>
        <v>76583799</v>
      </c>
      <c r="F19" s="410">
        <f t="shared" si="3"/>
        <v>223016858</v>
      </c>
      <c r="G19" s="410">
        <f t="shared" si="3"/>
        <v>2783737540</v>
      </c>
      <c r="H19" s="410">
        <f t="shared" si="3"/>
        <v>884779255</v>
      </c>
      <c r="I19" s="410">
        <f t="shared" si="3"/>
        <v>326190692</v>
      </c>
      <c r="J19" s="410">
        <f t="shared" si="3"/>
        <v>415921330</v>
      </c>
      <c r="K19" s="410">
        <f t="shared" si="3"/>
        <v>1048952563</v>
      </c>
      <c r="L19" s="410">
        <f t="shared" si="3"/>
        <v>1529191282</v>
      </c>
      <c r="M19" s="410">
        <f t="shared" si="3"/>
        <v>603294398</v>
      </c>
      <c r="N19" s="410">
        <f t="shared" si="3"/>
        <v>259602833</v>
      </c>
      <c r="O19" s="410">
        <f t="shared" si="3"/>
        <v>498762891</v>
      </c>
      <c r="P19" s="410">
        <f t="shared" si="3"/>
        <v>8879314441</v>
      </c>
      <c r="Q19" s="411" t="e">
        <f t="shared" si="2"/>
        <v>#DIV/0!</v>
      </c>
      <c r="R19" s="379"/>
      <c r="S19" s="400"/>
      <c r="T19" s="424"/>
      <c r="U19" s="428"/>
    </row>
    <row r="20" spans="1:21" ht="24.75" customHeight="1">
      <c r="A20" s="408"/>
      <c r="B20" s="384" t="s">
        <v>56</v>
      </c>
      <c r="C20" s="410">
        <f t="shared" ref="C20:P20" si="4">C19+C11</f>
        <v>0</v>
      </c>
      <c r="D20" s="410">
        <f>D19+D11</f>
        <v>1914236290</v>
      </c>
      <c r="E20" s="410">
        <f t="shared" si="4"/>
        <v>1905454596</v>
      </c>
      <c r="F20" s="410">
        <f t="shared" si="4"/>
        <v>2089017183</v>
      </c>
      <c r="G20" s="410">
        <f t="shared" si="4"/>
        <v>5438891614</v>
      </c>
      <c r="H20" s="410">
        <f t="shared" si="4"/>
        <v>2675902593</v>
      </c>
      <c r="I20" s="410">
        <f t="shared" si="4"/>
        <v>2139275725</v>
      </c>
      <c r="J20" s="410">
        <f t="shared" si="4"/>
        <v>2202230535</v>
      </c>
      <c r="K20" s="410">
        <f t="shared" si="4"/>
        <v>2844734251</v>
      </c>
      <c r="L20" s="410">
        <f>L19+L11</f>
        <v>3321523613</v>
      </c>
      <c r="M20" s="410">
        <f t="shared" si="4"/>
        <v>2245803107</v>
      </c>
      <c r="N20" s="410">
        <f t="shared" si="4"/>
        <v>2072920124</v>
      </c>
      <c r="O20" s="410">
        <f t="shared" si="4"/>
        <v>2293241043</v>
      </c>
      <c r="P20" s="410">
        <f t="shared" si="4"/>
        <v>31143230674</v>
      </c>
      <c r="Q20" s="411" t="e">
        <f t="shared" si="2"/>
        <v>#DIV/0!</v>
      </c>
      <c r="R20" s="379"/>
      <c r="S20" s="400"/>
      <c r="T20" s="424"/>
      <c r="U20" s="429"/>
    </row>
    <row r="21" spans="1:21" ht="15.75" customHeight="1">
      <c r="A21" s="430"/>
      <c r="B21" s="431"/>
      <c r="C21" s="432"/>
      <c r="D21" s="433"/>
      <c r="E21" s="433"/>
      <c r="F21" s="433"/>
      <c r="G21" s="432">
        <f>5438891614-G20</f>
        <v>0</v>
      </c>
      <c r="H21" s="434">
        <f>2675902593-H20</f>
        <v>0</v>
      </c>
      <c r="I21" s="434">
        <f>2139275725-I20</f>
        <v>0</v>
      </c>
      <c r="J21" s="434"/>
      <c r="L21" s="431"/>
      <c r="M21" s="431"/>
      <c r="N21" s="432">
        <f>2072920124-N20</f>
        <v>0</v>
      </c>
      <c r="O21" s="431"/>
      <c r="P21" s="435"/>
      <c r="Q21" s="431"/>
      <c r="R21" s="379"/>
      <c r="S21" s="400"/>
      <c r="T21" s="436"/>
      <c r="U21" s="429"/>
    </row>
    <row r="22" spans="1:21" ht="15.75" customHeight="1">
      <c r="A22" s="437"/>
      <c r="B22" s="437"/>
      <c r="C22" s="437"/>
      <c r="D22" s="438"/>
      <c r="E22" s="438"/>
      <c r="F22" s="438"/>
      <c r="G22" s="438"/>
      <c r="H22" s="438"/>
      <c r="I22" s="438"/>
      <c r="J22" s="438"/>
      <c r="K22" s="438"/>
      <c r="L22" s="438"/>
      <c r="M22" s="439"/>
      <c r="N22" s="440"/>
      <c r="O22" s="441"/>
      <c r="P22" s="424"/>
      <c r="Q22" s="437"/>
      <c r="R22" s="424"/>
      <c r="S22" s="400"/>
      <c r="T22" s="429"/>
      <c r="U22" s="429"/>
    </row>
    <row r="23" spans="1:21" ht="15.75" customHeight="1">
      <c r="A23" s="437"/>
      <c r="B23" s="437"/>
      <c r="C23" s="437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42"/>
      <c r="P23" s="424"/>
      <c r="Q23" s="424"/>
      <c r="S23" s="400"/>
      <c r="T23" s="429"/>
      <c r="U23" s="429"/>
    </row>
    <row r="24" spans="1:21" ht="15.75" customHeight="1">
      <c r="A24" s="437"/>
      <c r="B24" s="437"/>
      <c r="C24" s="437" t="s">
        <v>112</v>
      </c>
      <c r="E24" s="424"/>
      <c r="F24" s="424"/>
      <c r="G24" s="424"/>
      <c r="H24" s="434"/>
      <c r="I24" s="443"/>
      <c r="J24" s="443"/>
      <c r="K24" s="443"/>
      <c r="L24" s="444"/>
      <c r="M24" s="444"/>
      <c r="N24" s="445"/>
      <c r="O24" s="444"/>
      <c r="P24" s="434"/>
      <c r="Q24" s="437"/>
      <c r="S24" s="400"/>
      <c r="T24" s="429"/>
      <c r="U24" s="429"/>
    </row>
    <row r="25" spans="1:21" ht="15.75" customHeight="1">
      <c r="A25" s="437"/>
      <c r="B25" s="437" t="s">
        <v>64</v>
      </c>
      <c r="C25" s="380" t="s">
        <v>113</v>
      </c>
      <c r="D25" s="438"/>
      <c r="E25" s="438"/>
      <c r="F25" s="446"/>
      <c r="G25" s="424"/>
      <c r="H25" s="438"/>
      <c r="I25" s="438"/>
      <c r="J25" s="438"/>
      <c r="K25" s="435"/>
      <c r="M25" s="447"/>
      <c r="N25" s="444"/>
      <c r="O25" s="444"/>
      <c r="P25" s="448"/>
      <c r="Q25" s="437"/>
      <c r="T25" s="429"/>
      <c r="U25" s="429"/>
    </row>
    <row r="26" spans="1:21" ht="15.75" customHeight="1">
      <c r="A26" s="437"/>
      <c r="B26" s="437" t="s">
        <v>65</v>
      </c>
      <c r="C26" s="449"/>
      <c r="D26" s="450"/>
      <c r="E26" s="437"/>
      <c r="F26" s="441"/>
      <c r="G26" s="443"/>
      <c r="H26" s="437"/>
      <c r="I26" s="437"/>
      <c r="J26" s="437"/>
      <c r="K26" s="451"/>
      <c r="L26" s="452"/>
      <c r="M26" s="453"/>
      <c r="N26" s="443"/>
      <c r="O26" s="453"/>
      <c r="P26" s="437"/>
      <c r="Q26" s="437"/>
    </row>
    <row r="27" spans="1:21" ht="15.75" customHeight="1">
      <c r="A27" s="437"/>
      <c r="B27" s="437" t="s">
        <v>66</v>
      </c>
      <c r="C27" s="449"/>
      <c r="D27" s="454"/>
      <c r="E27" s="450"/>
      <c r="F27" s="441"/>
      <c r="G27" s="455"/>
      <c r="H27" s="456"/>
      <c r="I27" s="448"/>
      <c r="J27" s="448"/>
      <c r="K27" s="451"/>
      <c r="L27" s="435"/>
      <c r="M27" s="453"/>
      <c r="N27" s="457"/>
      <c r="O27" s="444"/>
      <c r="P27" s="438"/>
      <c r="Q27" s="456"/>
      <c r="R27" s="429"/>
      <c r="S27" s="429"/>
      <c r="T27" s="429"/>
    </row>
    <row r="28" spans="1:21" ht="15.75" customHeight="1">
      <c r="A28" s="437"/>
      <c r="B28" s="437" t="s">
        <v>67</v>
      </c>
      <c r="C28" s="449"/>
      <c r="D28" s="454"/>
      <c r="E28" s="450"/>
      <c r="F28" s="441"/>
      <c r="G28" s="455"/>
      <c r="H28" s="456"/>
      <c r="I28" s="456"/>
      <c r="J28" s="434"/>
      <c r="K28" s="451"/>
      <c r="L28" s="458"/>
      <c r="M28" s="453"/>
      <c r="N28" s="444"/>
      <c r="O28" s="444"/>
      <c r="P28" s="456"/>
      <c r="Q28" s="456"/>
      <c r="R28" s="429"/>
      <c r="S28" s="429"/>
      <c r="T28" s="429"/>
    </row>
    <row r="29" spans="1:21" ht="15.75" customHeight="1">
      <c r="A29" s="437"/>
      <c r="B29" s="437" t="s">
        <v>68</v>
      </c>
      <c r="C29" s="437"/>
      <c r="E29" s="450"/>
      <c r="F29" s="441"/>
      <c r="G29" s="455"/>
      <c r="H29" s="456"/>
      <c r="I29" s="438"/>
      <c r="J29" s="459"/>
      <c r="K29" s="451"/>
      <c r="L29" s="435"/>
      <c r="M29" s="453"/>
      <c r="N29" s="451"/>
      <c r="O29" s="453"/>
      <c r="P29" s="456"/>
      <c r="Q29" s="456"/>
      <c r="R29" s="429"/>
      <c r="S29" s="429"/>
      <c r="T29" s="429"/>
    </row>
    <row r="30" spans="1:21" ht="15.75" customHeight="1">
      <c r="A30" s="437"/>
      <c r="B30" s="437" t="s">
        <v>114</v>
      </c>
      <c r="C30" s="437"/>
      <c r="D30" s="454"/>
      <c r="E30" s="450"/>
      <c r="F30" s="441"/>
      <c r="G30" s="455"/>
      <c r="H30" s="437"/>
      <c r="I30" s="437"/>
      <c r="J30" s="459"/>
      <c r="K30" s="451"/>
      <c r="L30" s="441"/>
      <c r="M30" s="459"/>
      <c r="N30" s="459"/>
      <c r="O30" s="459"/>
      <c r="P30" s="437"/>
      <c r="Q30" s="437"/>
    </row>
    <row r="31" spans="1:21" ht="15.75" customHeight="1">
      <c r="A31" s="437"/>
      <c r="B31" s="437"/>
      <c r="C31" s="437"/>
      <c r="D31" s="454"/>
      <c r="E31" s="450"/>
      <c r="F31" s="441"/>
      <c r="G31" s="455"/>
      <c r="H31" s="437"/>
      <c r="I31" s="437"/>
      <c r="J31" s="459"/>
      <c r="K31" s="437"/>
      <c r="M31" s="437"/>
      <c r="O31" s="437"/>
      <c r="P31" s="437"/>
      <c r="Q31" s="437"/>
    </row>
    <row r="32" spans="1:21" ht="15.75" customHeight="1">
      <c r="A32" s="437"/>
      <c r="B32" s="460"/>
      <c r="C32" s="437"/>
      <c r="D32" s="454"/>
      <c r="E32" s="450"/>
      <c r="G32" s="437"/>
      <c r="H32" s="437"/>
      <c r="I32" s="437"/>
      <c r="J32" s="459"/>
      <c r="K32" s="437"/>
      <c r="L32" s="441"/>
      <c r="M32" s="442"/>
      <c r="N32" s="437"/>
      <c r="O32" s="437"/>
      <c r="P32" s="437"/>
      <c r="Q32" s="437"/>
    </row>
    <row r="33" spans="4:12" ht="15.75" customHeight="1">
      <c r="D33" s="454"/>
      <c r="I33" s="461"/>
      <c r="J33" s="459"/>
      <c r="L33" s="435"/>
    </row>
    <row r="34" spans="4:12" ht="15.75" customHeight="1">
      <c r="L34" s="435"/>
    </row>
    <row r="35" spans="4:12" ht="15.75" customHeight="1">
      <c r="L35" s="435"/>
    </row>
    <row r="36" spans="4:12" ht="15.75" customHeight="1"/>
    <row r="37" spans="4:12" ht="15.75" customHeight="1"/>
    <row r="38" spans="4:12" ht="15.75" customHeight="1"/>
    <row r="39" spans="4:12" ht="15.75" customHeight="1"/>
    <row r="40" spans="4:12" ht="15.75" customHeight="1"/>
    <row r="41" spans="4:12" ht="15.75" customHeight="1"/>
    <row r="42" spans="4:12" ht="15.75" customHeight="1">
      <c r="F42" s="418"/>
      <c r="G42" s="419"/>
    </row>
    <row r="43" spans="4:12" ht="15.75" customHeight="1">
      <c r="F43" s="418"/>
      <c r="G43" s="419"/>
    </row>
    <row r="44" spans="4:12" ht="15.75" customHeight="1">
      <c r="F44" s="418"/>
      <c r="G44" s="419"/>
    </row>
    <row r="45" spans="4:12" ht="15.75" customHeight="1">
      <c r="F45" s="418"/>
      <c r="G45" s="419"/>
    </row>
    <row r="46" spans="4:12" ht="15.75" customHeight="1">
      <c r="F46" s="418"/>
      <c r="G46" s="419"/>
    </row>
    <row r="47" spans="4:12" ht="15.75" customHeight="1">
      <c r="F47" s="418"/>
      <c r="G47" s="419"/>
    </row>
    <row r="48" spans="4:12" ht="15.75" customHeight="1">
      <c r="F48" s="462"/>
      <c r="G48" s="463"/>
    </row>
    <row r="49" spans="6:7" ht="15.75" customHeight="1">
      <c r="F49" s="462"/>
      <c r="G49" s="463"/>
    </row>
    <row r="50" spans="6:7" ht="15.75" customHeight="1">
      <c r="F50" s="462"/>
      <c r="G50" s="419"/>
    </row>
    <row r="51" spans="6:7" ht="15.75" customHeight="1">
      <c r="F51" s="418"/>
      <c r="G51" s="423"/>
    </row>
    <row r="52" spans="6:7" ht="15.75" customHeight="1">
      <c r="F52" s="418"/>
      <c r="G52" s="419"/>
    </row>
    <row r="53" spans="6:7" ht="15.75" customHeight="1">
      <c r="F53" s="418"/>
      <c r="G53" s="419"/>
    </row>
    <row r="54" spans="6:7" ht="15.75" customHeight="1">
      <c r="F54" s="418"/>
      <c r="G54" s="419"/>
    </row>
    <row r="55" spans="6:7" ht="15.75" customHeight="1"/>
    <row r="56" spans="6:7" ht="15.75" customHeight="1"/>
    <row r="57" spans="6:7" ht="15.75" customHeight="1"/>
    <row r="58" spans="6:7" ht="15.75" customHeight="1"/>
    <row r="59" spans="6:7" ht="15.75" customHeight="1"/>
    <row r="60" spans="6:7" ht="15.75" customHeight="1"/>
    <row r="61" spans="6:7" ht="15.75" customHeight="1"/>
    <row r="62" spans="6:7" ht="15.75" customHeight="1"/>
    <row r="63" spans="6:7" ht="15.75" customHeight="1"/>
    <row r="64" spans="6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G1:G2"/>
    <mergeCell ref="H1:H2"/>
    <mergeCell ref="I1:I2"/>
    <mergeCell ref="J1:J2"/>
    <mergeCell ref="K1:K2"/>
    <mergeCell ref="L1:L2"/>
  </mergeCells>
  <pageMargins left="0.25650916104146582" right="0.47251687560270011" top="1" bottom="1" header="0" footer="0"/>
  <pageSetup paperSize="5" scale="3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1328-268A-4369-B456-27FF1EED27BD}">
  <dimension ref="A1:U1000"/>
  <sheetViews>
    <sheetView tabSelected="1" topLeftCell="A7" zoomScale="70" zoomScaleNormal="70" workbookViewId="0">
      <pane xSplit="2" topLeftCell="J1" activePane="topRight" state="frozen"/>
      <selection pane="topRight" activeCell="L22" sqref="L22"/>
    </sheetView>
  </sheetViews>
  <sheetFormatPr defaultColWidth="14.453125" defaultRowHeight="15" customHeight="1"/>
  <cols>
    <col min="1" max="1" width="9.453125" style="380" customWidth="1"/>
    <col min="2" max="2" width="26.81640625" style="380" customWidth="1"/>
    <col min="3" max="3" width="21.7265625" style="380" customWidth="1"/>
    <col min="4" max="10" width="19.54296875" style="380" customWidth="1"/>
    <col min="11" max="16" width="20.7265625" style="380" customWidth="1"/>
    <col min="17" max="17" width="12.08984375" style="380" customWidth="1"/>
    <col min="18" max="18" width="8.7265625" style="380" customWidth="1"/>
    <col min="19" max="19" width="18" style="380" customWidth="1"/>
    <col min="20" max="20" width="19.7265625" style="380" customWidth="1"/>
    <col min="21" max="21" width="8.7265625" style="380" customWidth="1"/>
    <col min="22" max="16384" width="14.453125" style="380"/>
  </cols>
  <sheetData>
    <row r="1" spans="1:21" ht="14.5">
      <c r="A1" s="483" t="s">
        <v>24</v>
      </c>
      <c r="B1" s="483" t="s">
        <v>25</v>
      </c>
      <c r="C1" s="481" t="s">
        <v>60</v>
      </c>
      <c r="D1" s="481" t="s">
        <v>8</v>
      </c>
      <c r="E1" s="481" t="s">
        <v>27</v>
      </c>
      <c r="F1" s="481" t="s">
        <v>10</v>
      </c>
      <c r="G1" s="481" t="s">
        <v>28</v>
      </c>
      <c r="H1" s="481" t="s">
        <v>29</v>
      </c>
      <c r="I1" s="481" t="s">
        <v>30</v>
      </c>
      <c r="J1" s="481" t="s">
        <v>31</v>
      </c>
      <c r="K1" s="481" t="s">
        <v>32</v>
      </c>
      <c r="L1" s="481" t="s">
        <v>33</v>
      </c>
      <c r="M1" s="481" t="s">
        <v>34</v>
      </c>
      <c r="N1" s="481" t="s">
        <v>111</v>
      </c>
      <c r="O1" s="481" t="s">
        <v>36</v>
      </c>
      <c r="P1" s="378"/>
      <c r="Q1" s="378"/>
      <c r="R1" s="379"/>
      <c r="S1" s="379"/>
    </row>
    <row r="2" spans="1:21" ht="14.5">
      <c r="A2" s="484"/>
      <c r="B2" s="484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381" t="s">
        <v>39</v>
      </c>
      <c r="Q2" s="381" t="s">
        <v>39</v>
      </c>
      <c r="R2" s="379"/>
      <c r="S2" s="379"/>
    </row>
    <row r="3" spans="1:21" ht="24.75" customHeight="1">
      <c r="A3" s="382" t="s">
        <v>40</v>
      </c>
      <c r="B3" s="383" t="s">
        <v>41</v>
      </c>
      <c r="C3" s="384"/>
      <c r="D3" s="385"/>
      <c r="E3" s="381"/>
      <c r="F3" s="386"/>
      <c r="G3" s="387"/>
      <c r="H3" s="388"/>
      <c r="I3" s="388"/>
      <c r="J3" s="388"/>
      <c r="K3" s="388"/>
      <c r="L3" s="389"/>
      <c r="M3" s="389"/>
      <c r="N3" s="389"/>
      <c r="O3" s="389"/>
      <c r="P3" s="388"/>
      <c r="Q3" s="390"/>
      <c r="R3" s="379"/>
      <c r="S3" s="379"/>
    </row>
    <row r="4" spans="1:21" ht="24.75" customHeight="1">
      <c r="A4" s="391">
        <v>1</v>
      </c>
      <c r="B4" s="392" t="s">
        <v>4</v>
      </c>
      <c r="C4" s="393"/>
      <c r="D4" s="394">
        <f>2811135182+14025000</f>
        <v>2825160182</v>
      </c>
      <c r="E4" s="395">
        <f>2891840820+14625000</f>
        <v>2906465820</v>
      </c>
      <c r="F4" s="395">
        <f>2858339388+15575000</f>
        <v>2873914388</v>
      </c>
      <c r="G4" s="396">
        <f>2833427748+15525000</f>
        <v>2848952748</v>
      </c>
      <c r="H4" s="388">
        <f>2811170431+15445000</f>
        <v>2826615431</v>
      </c>
      <c r="I4" s="387">
        <f>2797895293+15495000</f>
        <v>2813390293</v>
      </c>
      <c r="J4" s="387">
        <f>2750409350+15295000</f>
        <v>2765704350</v>
      </c>
      <c r="K4" s="398">
        <f>2755590703+14995000</f>
        <v>2770585703</v>
      </c>
      <c r="L4" s="398">
        <f>2750611278+15145000</f>
        <v>2765756278</v>
      </c>
      <c r="M4" s="398"/>
      <c r="N4" s="398"/>
      <c r="O4" s="398"/>
      <c r="P4" s="387">
        <f t="shared" ref="P4:P10" si="0">D4+E4+F4+G4+H4+I4+J4+K4+L4+M4+N4+O4</f>
        <v>25396545193</v>
      </c>
      <c r="Q4" s="399" t="e">
        <f>P4/C4</f>
        <v>#DIV/0!</v>
      </c>
      <c r="R4" s="379"/>
      <c r="S4" s="400"/>
      <c r="T4" s="401"/>
    </row>
    <row r="5" spans="1:21" ht="24.75" customHeight="1">
      <c r="A5" s="391">
        <v>2</v>
      </c>
      <c r="B5" s="402" t="s">
        <v>42</v>
      </c>
      <c r="C5" s="403"/>
      <c r="D5" s="404"/>
      <c r="E5" s="395"/>
      <c r="F5" s="395">
        <v>499795000</v>
      </c>
      <c r="G5" s="387">
        <v>196688333</v>
      </c>
      <c r="H5" s="387"/>
      <c r="I5" s="387"/>
      <c r="J5" s="387"/>
      <c r="K5" s="387"/>
      <c r="L5" s="387"/>
      <c r="M5" s="387"/>
      <c r="N5" s="398"/>
      <c r="O5" s="387"/>
      <c r="P5" s="387">
        <f t="shared" si="0"/>
        <v>696483333</v>
      </c>
      <c r="Q5" s="399" t="e">
        <f>P5/C5</f>
        <v>#DIV/0!</v>
      </c>
      <c r="R5" s="379"/>
      <c r="S5" s="400"/>
    </row>
    <row r="6" spans="1:21" ht="24.75" customHeight="1">
      <c r="A6" s="391">
        <v>3</v>
      </c>
      <c r="B6" s="402" t="s">
        <v>43</v>
      </c>
      <c r="C6" s="402"/>
      <c r="D6" s="404"/>
      <c r="E6" s="395">
        <f>5625000</f>
        <v>5625000</v>
      </c>
      <c r="F6" s="395">
        <f>5000000</f>
        <v>5000000</v>
      </c>
      <c r="G6" s="387">
        <f>90000000+14335000+5000000+5000000+19370000</f>
        <v>133705000</v>
      </c>
      <c r="H6" s="387">
        <f>1200000</f>
        <v>1200000</v>
      </c>
      <c r="I6" s="405"/>
      <c r="J6" s="405"/>
      <c r="K6" s="398"/>
      <c r="L6" s="398"/>
      <c r="M6" s="398"/>
      <c r="N6" s="398"/>
      <c r="O6" s="398"/>
      <c r="P6" s="387">
        <f t="shared" si="0"/>
        <v>145530000</v>
      </c>
      <c r="Q6" s="399" t="e">
        <f>P6/C6</f>
        <v>#DIV/0!</v>
      </c>
      <c r="R6" s="379"/>
      <c r="S6" s="400"/>
    </row>
    <row r="7" spans="1:21" ht="24.75" customHeight="1">
      <c r="A7" s="391">
        <v>4</v>
      </c>
      <c r="B7" s="402" t="s">
        <v>44</v>
      </c>
      <c r="C7" s="403"/>
      <c r="D7" s="404"/>
      <c r="E7" s="395"/>
      <c r="F7" s="395"/>
      <c r="G7" s="387"/>
      <c r="H7" s="406"/>
      <c r="I7" s="387"/>
      <c r="J7" s="387"/>
      <c r="K7" s="387"/>
      <c r="M7" s="387"/>
      <c r="N7" s="387"/>
      <c r="O7" s="387"/>
      <c r="P7" s="387">
        <f t="shared" si="0"/>
        <v>0</v>
      </c>
      <c r="Q7" s="399"/>
      <c r="R7" s="379"/>
      <c r="S7" s="400"/>
    </row>
    <row r="8" spans="1:21" ht="24.75" customHeight="1">
      <c r="A8" s="391">
        <v>5</v>
      </c>
      <c r="B8" s="402" t="s">
        <v>45</v>
      </c>
      <c r="C8" s="403"/>
      <c r="D8" s="404"/>
      <c r="E8" s="395"/>
      <c r="F8" s="395"/>
      <c r="G8" s="387"/>
      <c r="H8" s="406"/>
      <c r="I8" s="387"/>
      <c r="J8" s="387"/>
      <c r="K8" s="387"/>
      <c r="L8" s="387"/>
      <c r="M8" s="387"/>
      <c r="N8" s="387"/>
      <c r="O8" s="387"/>
      <c r="P8" s="387">
        <f t="shared" si="0"/>
        <v>0</v>
      </c>
      <c r="Q8" s="399" t="e">
        <f>P8/C8</f>
        <v>#DIV/0!</v>
      </c>
      <c r="R8" s="379"/>
      <c r="S8" s="400"/>
    </row>
    <row r="9" spans="1:21" ht="24.75" customHeight="1">
      <c r="A9" s="391">
        <v>6</v>
      </c>
      <c r="B9" s="402" t="s">
        <v>46</v>
      </c>
      <c r="C9" s="403"/>
      <c r="D9" s="404"/>
      <c r="E9" s="395"/>
      <c r="F9" s="395">
        <f>1318000</f>
        <v>1318000</v>
      </c>
      <c r="G9" s="387">
        <f>1734695800</f>
        <v>1734695800</v>
      </c>
      <c r="H9" s="387"/>
      <c r="I9" s="387"/>
      <c r="J9" s="387"/>
      <c r="K9" s="387"/>
      <c r="L9" s="387"/>
      <c r="M9" s="387"/>
      <c r="N9" s="387"/>
      <c r="O9" s="387"/>
      <c r="P9" s="387">
        <f t="shared" si="0"/>
        <v>1736013800</v>
      </c>
      <c r="Q9" s="399" t="e">
        <f>P9/C9</f>
        <v>#DIV/0!</v>
      </c>
      <c r="R9" s="379"/>
      <c r="S9" s="400" t="e">
        <f>#REF!+P9</f>
        <v>#REF!</v>
      </c>
    </row>
    <row r="10" spans="1:21" ht="24.75" customHeight="1">
      <c r="A10" s="391">
        <v>7</v>
      </c>
      <c r="B10" s="402" t="s">
        <v>47</v>
      </c>
      <c r="C10" s="403"/>
      <c r="D10" s="404"/>
      <c r="E10" s="395"/>
      <c r="F10" s="395"/>
      <c r="G10" s="387"/>
      <c r="H10" s="387"/>
      <c r="I10" s="387"/>
      <c r="J10" s="387"/>
      <c r="K10" s="398"/>
      <c r="L10" s="398"/>
      <c r="M10" s="407"/>
      <c r="N10" s="398"/>
      <c r="O10" s="398"/>
      <c r="P10" s="387">
        <f t="shared" si="0"/>
        <v>0</v>
      </c>
      <c r="Q10" s="399" t="e">
        <f>P10/C10</f>
        <v>#DIV/0!</v>
      </c>
      <c r="R10" s="379"/>
      <c r="S10" s="400"/>
    </row>
    <row r="11" spans="1:21" ht="24.75" customHeight="1">
      <c r="A11" s="408"/>
      <c r="B11" s="409" t="s">
        <v>48</v>
      </c>
      <c r="C11" s="410">
        <f>SUM(C4:C10)</f>
        <v>0</v>
      </c>
      <c r="D11" s="410">
        <f t="shared" ref="D11:O11" si="1">SUM(D4:D10)</f>
        <v>2825160182</v>
      </c>
      <c r="E11" s="410">
        <f t="shared" si="1"/>
        <v>2912090820</v>
      </c>
      <c r="F11" s="410">
        <f t="shared" si="1"/>
        <v>3380027388</v>
      </c>
      <c r="G11" s="410">
        <f t="shared" si="1"/>
        <v>4914041881</v>
      </c>
      <c r="H11" s="410">
        <f t="shared" si="1"/>
        <v>2827815431</v>
      </c>
      <c r="I11" s="410">
        <f t="shared" si="1"/>
        <v>2813390293</v>
      </c>
      <c r="J11" s="410">
        <f t="shared" si="1"/>
        <v>2765704350</v>
      </c>
      <c r="K11" s="410">
        <f t="shared" si="1"/>
        <v>2770585703</v>
      </c>
      <c r="L11" s="410">
        <f t="shared" si="1"/>
        <v>2765756278</v>
      </c>
      <c r="M11" s="410">
        <f t="shared" si="1"/>
        <v>0</v>
      </c>
      <c r="N11" s="410">
        <f t="shared" si="1"/>
        <v>0</v>
      </c>
      <c r="O11" s="410">
        <f t="shared" si="1"/>
        <v>0</v>
      </c>
      <c r="P11" s="410">
        <f>SUM(P4:P10)</f>
        <v>27974572326</v>
      </c>
      <c r="Q11" s="411" t="e">
        <f>P11/C11</f>
        <v>#DIV/0!</v>
      </c>
      <c r="R11" s="379"/>
      <c r="S11" s="400"/>
    </row>
    <row r="12" spans="1:21" ht="24.75" customHeight="1">
      <c r="A12" s="408"/>
      <c r="B12" s="409"/>
      <c r="C12" s="409"/>
      <c r="D12" s="412"/>
      <c r="E12" s="412"/>
      <c r="F12" s="412"/>
      <c r="G12" s="413"/>
      <c r="H12" s="412"/>
      <c r="I12" s="412"/>
      <c r="J12" s="412"/>
      <c r="K12" s="412"/>
      <c r="L12" s="412"/>
      <c r="M12" s="412"/>
      <c r="N12" s="412"/>
      <c r="O12" s="414"/>
      <c r="P12" s="412"/>
      <c r="Q12" s="415"/>
      <c r="R12" s="379"/>
      <c r="S12" s="400"/>
    </row>
    <row r="13" spans="1:21" ht="24.75" customHeight="1">
      <c r="A13" s="382" t="s">
        <v>49</v>
      </c>
      <c r="B13" s="383" t="s">
        <v>50</v>
      </c>
      <c r="C13" s="384"/>
      <c r="D13" s="416"/>
      <c r="E13" s="412"/>
      <c r="F13" s="395"/>
      <c r="G13" s="467"/>
      <c r="H13" s="467"/>
      <c r="I13" s="467"/>
      <c r="J13" s="467"/>
      <c r="K13" s="467"/>
      <c r="L13" s="467"/>
      <c r="M13" s="467"/>
      <c r="N13" s="467"/>
      <c r="O13" s="467"/>
      <c r="P13" s="387"/>
      <c r="Q13" s="417"/>
      <c r="R13" s="379"/>
      <c r="S13" s="400"/>
    </row>
    <row r="14" spans="1:21" ht="24.75" customHeight="1">
      <c r="A14" s="391">
        <v>1</v>
      </c>
      <c r="B14" s="402" t="s">
        <v>43</v>
      </c>
      <c r="C14" s="402"/>
      <c r="D14" s="404">
        <f>148284181+4840000+5054444-18230556-33381000-41613600</f>
        <v>64953469</v>
      </c>
      <c r="E14" s="395">
        <f>197710078+646667-71287000-14625000-34317200-6507778-7450000-2000000</f>
        <v>62169767</v>
      </c>
      <c r="F14" s="464">
        <f>899079680+6485000+1292000-101947000-569400406-74732920-1725000-1465556-27222222</f>
        <v>130363576</v>
      </c>
      <c r="G14" s="470">
        <f>3224168860+2017870165+3164447329-24808889-1017843333-1281663468-201700000-9800000-5500000-86666667-888890-15000000-2077777-1277778-3134887329-851225800</f>
        <v>1773146423</v>
      </c>
      <c r="H14" s="470">
        <f>439443533+615353333+19957222-27287000-15445000-33265000-123623654-16876000-12422222-350000-3000000-802778-1625000-5390000-600000-2773111</f>
        <v>831294323</v>
      </c>
      <c r="I14" s="471">
        <f>146114897-5830000-15495000-12772631-4350000-1000000-277778+122102890</f>
        <v>228492378</v>
      </c>
      <c r="J14" s="471">
        <f>105046536+49248889-15295000-6189500-11734075-690000</f>
        <v>120386850</v>
      </c>
      <c r="K14" s="472">
        <f>124839298+7020555-7802500-14995000-38146131-1260000-1531111-15000000</f>
        <v>53125111</v>
      </c>
      <c r="L14" s="472">
        <f>678197077+2325000+500000-15140000-15145000-571339511-4865000-15000000</f>
        <v>59532566</v>
      </c>
      <c r="M14" s="472"/>
      <c r="N14" s="472"/>
      <c r="O14" s="472"/>
      <c r="P14" s="466">
        <f>SUM(D14:O14)</f>
        <v>3323464463</v>
      </c>
      <c r="Q14" s="399" t="e">
        <f t="shared" ref="Q14:Q20" si="2">P14/C14</f>
        <v>#DIV/0!</v>
      </c>
      <c r="R14" s="379"/>
      <c r="S14" s="400"/>
      <c r="T14" s="418"/>
      <c r="U14" s="419"/>
    </row>
    <row r="15" spans="1:21" ht="24.75" customHeight="1">
      <c r="A15" s="391">
        <v>2</v>
      </c>
      <c r="B15" s="402" t="s">
        <v>51</v>
      </c>
      <c r="C15" s="403"/>
      <c r="D15" s="404">
        <f>33381000+4205556+41613600+11290000</f>
        <v>90490156</v>
      </c>
      <c r="E15" s="395">
        <f>71287000+34317200+6507778+7450000+2000000+20180000</f>
        <v>141741978</v>
      </c>
      <c r="F15" s="475">
        <f>101947000+33365406+20665000+74732920+1725000+1465556+27222222+28460000</f>
        <v>289583104</v>
      </c>
      <c r="G15" s="471">
        <f>24808889+805630000+1281663468+201700000+9800000+5500000+86666667+888890+15000000+2077777+1277778+3134887329+851225800+6607500</f>
        <v>6427734098</v>
      </c>
      <c r="H15" s="471">
        <f>27287000+33265000+123623654+16876000+12422222+350000+3000000+802778+1625000+5390000+600000+2773111+33265000</f>
        <v>261279765</v>
      </c>
      <c r="I15" s="471">
        <f>34730000+5830000+12772631+4350000+1000000+277778</f>
        <v>58960409</v>
      </c>
      <c r="J15" s="471">
        <f>14625000+6189500+11734075+690000</f>
        <v>33238575</v>
      </c>
      <c r="K15" s="471">
        <f>19500000+7802500+38146131+1260000+1531111+15000000</f>
        <v>83239742</v>
      </c>
      <c r="L15" s="472">
        <f>24765000+15140000+571339511+4865000+15000000</f>
        <v>631109511</v>
      </c>
      <c r="M15" s="473"/>
      <c r="N15" s="472"/>
      <c r="O15" s="472"/>
      <c r="P15" s="466">
        <f t="shared" ref="P15:P18" si="3">SUM(D15:O15)</f>
        <v>8017377338</v>
      </c>
      <c r="Q15" s="399" t="e">
        <f t="shared" si="2"/>
        <v>#DIV/0!</v>
      </c>
      <c r="R15" s="379"/>
      <c r="S15" s="400"/>
      <c r="T15" s="419"/>
      <c r="U15" s="423"/>
    </row>
    <row r="16" spans="1:21" ht="24.75" customHeight="1">
      <c r="A16" s="391">
        <v>3</v>
      </c>
      <c r="B16" s="402" t="s">
        <v>52</v>
      </c>
      <c r="C16" s="403"/>
      <c r="D16" s="404"/>
      <c r="E16" s="395"/>
      <c r="F16" s="464"/>
      <c r="G16" s="471"/>
      <c r="H16" s="471"/>
      <c r="I16" s="471"/>
      <c r="J16" s="471"/>
      <c r="K16" s="471"/>
      <c r="L16" s="471"/>
      <c r="M16" s="471"/>
      <c r="N16" s="471"/>
      <c r="O16" s="472"/>
      <c r="P16" s="466">
        <f t="shared" si="3"/>
        <v>0</v>
      </c>
      <c r="Q16" s="399" t="e">
        <f t="shared" si="2"/>
        <v>#DIV/0!</v>
      </c>
      <c r="R16" s="379"/>
      <c r="S16" s="400"/>
      <c r="T16" s="424"/>
      <c r="U16" s="425"/>
    </row>
    <row r="17" spans="1:21" ht="24.75" customHeight="1">
      <c r="A17" s="391">
        <v>4</v>
      </c>
      <c r="B17" s="402" t="s">
        <v>53</v>
      </c>
      <c r="C17" s="395"/>
      <c r="D17" s="404"/>
      <c r="E17" s="395"/>
      <c r="F17" s="464"/>
      <c r="G17" s="471"/>
      <c r="H17" s="471"/>
      <c r="I17" s="471"/>
      <c r="J17" s="471"/>
      <c r="K17" s="474"/>
      <c r="L17" s="472"/>
      <c r="M17" s="473"/>
      <c r="N17" s="472"/>
      <c r="O17" s="472"/>
      <c r="P17" s="466">
        <f t="shared" si="3"/>
        <v>0</v>
      </c>
      <c r="Q17" s="399" t="e">
        <f t="shared" si="2"/>
        <v>#DIV/0!</v>
      </c>
      <c r="R17" s="379"/>
      <c r="S17" s="400"/>
      <c r="T17" s="424"/>
      <c r="U17" s="427"/>
    </row>
    <row r="18" spans="1:21" ht="24.75" customHeight="1">
      <c r="A18" s="391">
        <v>5</v>
      </c>
      <c r="B18" s="402" t="s">
        <v>54</v>
      </c>
      <c r="C18" s="403"/>
      <c r="D18" s="404"/>
      <c r="E18" s="412"/>
      <c r="F18" s="395"/>
      <c r="G18" s="468"/>
      <c r="H18" s="468"/>
      <c r="I18" s="468">
        <f>203424000</f>
        <v>203424000</v>
      </c>
      <c r="J18" s="468"/>
      <c r="K18" s="468"/>
      <c r="L18" s="468"/>
      <c r="M18" s="468"/>
      <c r="N18" s="468"/>
      <c r="O18" s="469"/>
      <c r="P18" s="466">
        <f t="shared" si="3"/>
        <v>203424000</v>
      </c>
      <c r="Q18" s="399" t="e">
        <f t="shared" si="2"/>
        <v>#DIV/0!</v>
      </c>
      <c r="R18" s="379"/>
      <c r="S18" s="400"/>
      <c r="T18" s="424"/>
      <c r="U18" s="428"/>
    </row>
    <row r="19" spans="1:21" ht="24.75" customHeight="1">
      <c r="A19" s="408"/>
      <c r="B19" s="384" t="s">
        <v>55</v>
      </c>
      <c r="C19" s="410">
        <f t="shared" ref="C19:P19" si="4">SUM(C14:C18)</f>
        <v>0</v>
      </c>
      <c r="D19" s="410">
        <f t="shared" si="4"/>
        <v>155443625</v>
      </c>
      <c r="E19" s="410">
        <f t="shared" si="4"/>
        <v>203911745</v>
      </c>
      <c r="F19" s="410">
        <f t="shared" si="4"/>
        <v>419946680</v>
      </c>
      <c r="G19" s="410">
        <f t="shared" si="4"/>
        <v>8200880521</v>
      </c>
      <c r="H19" s="410">
        <f t="shared" si="4"/>
        <v>1092574088</v>
      </c>
      <c r="I19" s="410">
        <f t="shared" si="4"/>
        <v>490876787</v>
      </c>
      <c r="J19" s="410">
        <f t="shared" si="4"/>
        <v>153625425</v>
      </c>
      <c r="K19" s="410">
        <f t="shared" si="4"/>
        <v>136364853</v>
      </c>
      <c r="L19" s="410">
        <f t="shared" si="4"/>
        <v>690642077</v>
      </c>
      <c r="M19" s="410">
        <f t="shared" si="4"/>
        <v>0</v>
      </c>
      <c r="N19" s="410">
        <f t="shared" si="4"/>
        <v>0</v>
      </c>
      <c r="O19" s="410">
        <f t="shared" si="4"/>
        <v>0</v>
      </c>
      <c r="P19" s="410">
        <f t="shared" si="4"/>
        <v>11544265801</v>
      </c>
      <c r="Q19" s="411" t="e">
        <f t="shared" si="2"/>
        <v>#DIV/0!</v>
      </c>
      <c r="R19" s="379"/>
      <c r="S19" s="400"/>
      <c r="T19" s="424"/>
      <c r="U19" s="428"/>
    </row>
    <row r="20" spans="1:21" ht="24.75" customHeight="1">
      <c r="A20" s="408"/>
      <c r="B20" s="384" t="s">
        <v>56</v>
      </c>
      <c r="C20" s="410">
        <f t="shared" ref="C20:P20" si="5">C19+C11</f>
        <v>0</v>
      </c>
      <c r="D20" s="410">
        <f>D19+D11</f>
        <v>2980603807</v>
      </c>
      <c r="E20" s="410">
        <f t="shared" si="5"/>
        <v>3116002565</v>
      </c>
      <c r="F20" s="410">
        <f t="shared" si="5"/>
        <v>3799974068</v>
      </c>
      <c r="G20" s="410">
        <f t="shared" si="5"/>
        <v>13114922402</v>
      </c>
      <c r="H20" s="410">
        <f t="shared" si="5"/>
        <v>3920389519</v>
      </c>
      <c r="I20" s="410">
        <f t="shared" si="5"/>
        <v>3304267080</v>
      </c>
      <c r="J20" s="410">
        <f t="shared" si="5"/>
        <v>2919329775</v>
      </c>
      <c r="K20" s="410">
        <f>K19+K11</f>
        <v>2906950556</v>
      </c>
      <c r="L20" s="410">
        <f>L19+L11</f>
        <v>3456398355</v>
      </c>
      <c r="M20" s="410">
        <f t="shared" si="5"/>
        <v>0</v>
      </c>
      <c r="N20" s="410">
        <f t="shared" si="5"/>
        <v>0</v>
      </c>
      <c r="O20" s="410">
        <f t="shared" si="5"/>
        <v>0</v>
      </c>
      <c r="P20" s="410">
        <f t="shared" si="5"/>
        <v>39518838127</v>
      </c>
      <c r="Q20" s="411" t="e">
        <f t="shared" si="2"/>
        <v>#DIV/0!</v>
      </c>
      <c r="R20" s="379"/>
      <c r="S20" s="400"/>
      <c r="T20" s="424"/>
      <c r="U20" s="429"/>
    </row>
    <row r="21" spans="1:21" ht="15.75" customHeight="1">
      <c r="A21" s="430"/>
      <c r="B21" s="431"/>
      <c r="C21" s="432"/>
      <c r="D21" s="433"/>
      <c r="E21" s="433"/>
      <c r="F21" s="433"/>
      <c r="G21" s="476">
        <f>13114922402-G20</f>
        <v>0</v>
      </c>
      <c r="H21" s="477">
        <f>3920389519-H20</f>
        <v>0</v>
      </c>
      <c r="I21" s="434"/>
      <c r="J21" s="434"/>
      <c r="L21" s="431"/>
      <c r="M21" s="431"/>
      <c r="N21" s="432">
        <f>2072920124-N20</f>
        <v>2072920124</v>
      </c>
      <c r="O21" s="431"/>
      <c r="P21" s="435"/>
      <c r="Q21" s="431"/>
      <c r="R21" s="379"/>
      <c r="S21" s="400"/>
      <c r="T21" s="436"/>
      <c r="U21" s="429"/>
    </row>
    <row r="22" spans="1:21" ht="15.75" customHeight="1">
      <c r="A22" s="437"/>
      <c r="B22" s="437"/>
      <c r="C22" s="437"/>
      <c r="D22" s="438"/>
      <c r="E22" s="438"/>
      <c r="F22" s="438"/>
      <c r="G22" s="438"/>
      <c r="H22" s="438"/>
      <c r="I22" s="438"/>
      <c r="J22" s="438"/>
      <c r="K22" s="438"/>
      <c r="L22" s="438"/>
      <c r="M22" s="439"/>
      <c r="N22" s="440"/>
      <c r="O22" s="441"/>
      <c r="P22" s="424"/>
      <c r="Q22" s="437"/>
      <c r="R22" s="424"/>
      <c r="S22" s="400"/>
      <c r="T22" s="429"/>
      <c r="U22" s="429"/>
    </row>
    <row r="23" spans="1:21" ht="15.75" customHeight="1">
      <c r="A23" s="437"/>
      <c r="B23" s="437"/>
      <c r="C23" s="437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42"/>
      <c r="P23" s="424"/>
      <c r="Q23" s="424"/>
      <c r="S23" s="400"/>
      <c r="T23" s="429"/>
      <c r="U23" s="429"/>
    </row>
    <row r="24" spans="1:21" ht="15.75" customHeight="1">
      <c r="A24" s="437"/>
      <c r="B24" s="437"/>
      <c r="C24" s="437" t="s">
        <v>112</v>
      </c>
      <c r="E24" s="424"/>
      <c r="F24" s="424"/>
      <c r="G24" s="424"/>
      <c r="H24" s="434"/>
      <c r="I24" s="443"/>
      <c r="J24" s="443"/>
      <c r="K24" s="443"/>
      <c r="L24" s="444"/>
      <c r="M24" s="444"/>
      <c r="N24" s="445"/>
      <c r="O24" s="444"/>
      <c r="P24" s="434"/>
      <c r="Q24" s="437"/>
      <c r="S24" s="400"/>
      <c r="T24" s="429"/>
      <c r="U24" s="429"/>
    </row>
    <row r="25" spans="1:21" ht="15.75" customHeight="1">
      <c r="A25" s="437"/>
      <c r="B25" s="437" t="s">
        <v>64</v>
      </c>
      <c r="C25" s="380" t="s">
        <v>113</v>
      </c>
      <c r="D25" s="438"/>
      <c r="E25" s="438"/>
      <c r="F25" s="446"/>
      <c r="G25" s="424"/>
      <c r="H25" s="438"/>
      <c r="I25" s="438"/>
      <c r="J25" s="438"/>
      <c r="K25" s="435"/>
      <c r="M25" s="447"/>
      <c r="N25" s="444"/>
      <c r="O25" s="444"/>
      <c r="P25" s="448"/>
      <c r="Q25" s="437"/>
      <c r="T25" s="429"/>
      <c r="U25" s="429"/>
    </row>
    <row r="26" spans="1:21" ht="15.75" customHeight="1">
      <c r="A26" s="437"/>
      <c r="B26" s="437" t="s">
        <v>65</v>
      </c>
      <c r="C26" s="449"/>
      <c r="D26" s="450"/>
      <c r="E26" s="437"/>
      <c r="F26" s="441"/>
      <c r="G26" s="443"/>
      <c r="H26" s="437"/>
      <c r="I26" s="437"/>
      <c r="J26" s="437"/>
      <c r="K26" s="451"/>
      <c r="L26" s="452"/>
      <c r="M26" s="453"/>
      <c r="N26" s="443"/>
      <c r="O26" s="453"/>
      <c r="P26" s="437"/>
      <c r="Q26" s="437"/>
    </row>
    <row r="27" spans="1:21" ht="15.75" customHeight="1">
      <c r="A27" s="437"/>
      <c r="B27" s="437" t="s">
        <v>66</v>
      </c>
      <c r="C27" s="449"/>
      <c r="D27" s="454"/>
      <c r="E27" s="450"/>
      <c r="F27" s="441"/>
      <c r="G27" s="455"/>
      <c r="H27" s="456"/>
      <c r="I27" s="448"/>
      <c r="J27" s="448"/>
      <c r="K27" s="451"/>
      <c r="L27" s="435"/>
      <c r="M27" s="453"/>
      <c r="N27" s="457"/>
      <c r="O27" s="444"/>
      <c r="P27" s="438"/>
      <c r="Q27" s="456"/>
      <c r="R27" s="429"/>
      <c r="S27" s="429"/>
      <c r="T27" s="429"/>
    </row>
    <row r="28" spans="1:21" ht="15.75" customHeight="1">
      <c r="A28" s="437"/>
      <c r="B28" s="437" t="s">
        <v>67</v>
      </c>
      <c r="C28" s="449"/>
      <c r="D28" s="454"/>
      <c r="E28" s="450"/>
      <c r="F28" s="441"/>
      <c r="G28" s="455"/>
      <c r="H28" s="456"/>
      <c r="I28" s="456"/>
      <c r="J28" s="434"/>
      <c r="K28" s="451"/>
      <c r="L28" s="458"/>
      <c r="M28" s="453"/>
      <c r="N28" s="444"/>
      <c r="O28" s="444"/>
      <c r="P28" s="456"/>
      <c r="Q28" s="456"/>
      <c r="R28" s="429"/>
      <c r="S28" s="429"/>
      <c r="T28" s="429"/>
    </row>
    <row r="29" spans="1:21" ht="15.75" customHeight="1">
      <c r="A29" s="437"/>
      <c r="B29" s="437" t="s">
        <v>68</v>
      </c>
      <c r="C29" s="437"/>
      <c r="E29" s="450"/>
      <c r="F29" s="441"/>
      <c r="G29" s="455"/>
      <c r="H29" s="456"/>
      <c r="I29" s="438"/>
      <c r="J29" s="459"/>
      <c r="K29" s="451"/>
      <c r="L29" s="435"/>
      <c r="M29" s="453"/>
      <c r="N29" s="451"/>
      <c r="O29" s="453"/>
      <c r="P29" s="456"/>
      <c r="Q29" s="456"/>
      <c r="R29" s="429"/>
      <c r="S29" s="429"/>
      <c r="T29" s="429"/>
    </row>
    <row r="30" spans="1:21" ht="15.75" customHeight="1">
      <c r="A30" s="437"/>
      <c r="B30" s="437" t="s">
        <v>114</v>
      </c>
      <c r="C30" s="437"/>
      <c r="D30" s="454"/>
      <c r="E30" s="450"/>
      <c r="F30" s="441"/>
      <c r="G30" s="455"/>
      <c r="H30" s="437"/>
      <c r="I30" s="437"/>
      <c r="J30" s="459"/>
      <c r="K30" s="451"/>
      <c r="L30" s="441"/>
      <c r="M30" s="459"/>
      <c r="N30" s="459"/>
      <c r="O30" s="459"/>
      <c r="P30" s="437"/>
      <c r="Q30" s="437"/>
    </row>
    <row r="31" spans="1:21" ht="15.75" customHeight="1">
      <c r="A31" s="437"/>
      <c r="B31" s="437"/>
      <c r="C31" s="437"/>
      <c r="D31" s="454"/>
      <c r="E31" s="450"/>
      <c r="F31" s="441"/>
      <c r="G31" s="455"/>
      <c r="H31" s="437"/>
      <c r="I31" s="437"/>
      <c r="J31" s="459"/>
      <c r="K31" s="437"/>
      <c r="M31" s="437"/>
      <c r="O31" s="437"/>
      <c r="P31" s="437"/>
      <c r="Q31" s="437"/>
    </row>
    <row r="32" spans="1:21" ht="15.75" customHeight="1">
      <c r="A32" s="437"/>
      <c r="B32" s="460"/>
      <c r="C32" s="437"/>
      <c r="D32" s="454"/>
      <c r="E32" s="450"/>
      <c r="G32" s="437"/>
      <c r="H32" s="437"/>
      <c r="I32" s="437"/>
      <c r="J32" s="459"/>
      <c r="K32" s="437"/>
      <c r="L32" s="441"/>
      <c r="M32" s="442"/>
      <c r="N32" s="437"/>
      <c r="O32" s="437"/>
      <c r="P32" s="437"/>
      <c r="Q32" s="437"/>
    </row>
    <row r="33" spans="4:12" ht="15.75" customHeight="1">
      <c r="D33" s="454"/>
      <c r="I33" s="461"/>
      <c r="J33" s="459"/>
      <c r="L33" s="435"/>
    </row>
    <row r="34" spans="4:12" ht="15.75" customHeight="1">
      <c r="L34" s="435"/>
    </row>
    <row r="35" spans="4:12" ht="15.75" customHeight="1">
      <c r="L35" s="435"/>
    </row>
    <row r="36" spans="4:12" ht="15.75" customHeight="1"/>
    <row r="37" spans="4:12" ht="15.75" customHeight="1"/>
    <row r="38" spans="4:12" ht="15.75" customHeight="1"/>
    <row r="39" spans="4:12" ht="15.75" customHeight="1"/>
    <row r="40" spans="4:12" ht="15.75" customHeight="1"/>
    <row r="41" spans="4:12" ht="15.75" customHeight="1"/>
    <row r="42" spans="4:12" ht="15.75" customHeight="1">
      <c r="F42" s="418"/>
      <c r="G42" s="419"/>
    </row>
    <row r="43" spans="4:12" ht="15.75" customHeight="1">
      <c r="F43" s="418"/>
      <c r="G43" s="419"/>
    </row>
    <row r="44" spans="4:12" ht="15.75" customHeight="1">
      <c r="F44" s="418"/>
      <c r="G44" s="419"/>
    </row>
    <row r="45" spans="4:12" ht="15.75" customHeight="1">
      <c r="F45" s="418"/>
      <c r="G45" s="419"/>
    </row>
    <row r="46" spans="4:12" ht="15.75" customHeight="1">
      <c r="F46" s="418"/>
      <c r="G46" s="419"/>
    </row>
    <row r="47" spans="4:12" ht="15.75" customHeight="1">
      <c r="F47" s="418"/>
      <c r="G47" s="419"/>
    </row>
    <row r="48" spans="4:12" ht="15.75" customHeight="1">
      <c r="F48" s="462"/>
      <c r="G48" s="463"/>
    </row>
    <row r="49" spans="6:7" ht="15.75" customHeight="1">
      <c r="F49" s="462"/>
      <c r="G49" s="463"/>
    </row>
    <row r="50" spans="6:7" ht="15.75" customHeight="1">
      <c r="F50" s="462"/>
      <c r="G50" s="419"/>
    </row>
    <row r="51" spans="6:7" ht="15.75" customHeight="1">
      <c r="F51" s="418"/>
      <c r="G51" s="423"/>
    </row>
    <row r="52" spans="6:7" ht="15.75" customHeight="1">
      <c r="F52" s="418"/>
      <c r="G52" s="419"/>
    </row>
    <row r="53" spans="6:7" ht="15.75" customHeight="1">
      <c r="F53" s="418"/>
      <c r="G53" s="419"/>
    </row>
    <row r="54" spans="6:7" ht="15.75" customHeight="1">
      <c r="F54" s="418"/>
      <c r="G54" s="419"/>
    </row>
    <row r="55" spans="6:7" ht="15.75" customHeight="1"/>
    <row r="56" spans="6:7" ht="15.75" customHeight="1"/>
    <row r="57" spans="6:7" ht="15.75" customHeight="1"/>
    <row r="58" spans="6:7" ht="15.75" customHeight="1"/>
    <row r="59" spans="6:7" ht="15.75" customHeight="1"/>
    <row r="60" spans="6:7" ht="15.75" customHeight="1"/>
    <row r="61" spans="6:7" ht="15.75" customHeight="1"/>
    <row r="62" spans="6:7" ht="15.75" customHeight="1"/>
    <row r="63" spans="6:7" ht="15.75" customHeight="1"/>
    <row r="64" spans="6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M1:M2"/>
    <mergeCell ref="N1:N2"/>
    <mergeCell ref="O1:O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25650916104146582" right="0.47251687560270011" top="1" bottom="1" header="0" footer="0"/>
  <pageSetup paperSize="5" scale="3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4AA1-76FB-47CC-957C-4821B58BA39A}">
  <dimension ref="A1:U1000"/>
  <sheetViews>
    <sheetView zoomScale="70" zoomScaleNormal="70" workbookViewId="0">
      <pane xSplit="2" topLeftCell="C1" activePane="topRight" state="frozen"/>
      <selection pane="topRight" activeCell="T16" sqref="T16"/>
    </sheetView>
  </sheetViews>
  <sheetFormatPr defaultColWidth="14.453125" defaultRowHeight="15" customHeight="1"/>
  <cols>
    <col min="1" max="1" width="9.453125" style="380" customWidth="1"/>
    <col min="2" max="2" width="26.81640625" style="380" customWidth="1"/>
    <col min="3" max="3" width="21.7265625" style="380" customWidth="1"/>
    <col min="4" max="10" width="19.54296875" style="380" customWidth="1"/>
    <col min="11" max="16" width="20.7265625" style="380" customWidth="1"/>
    <col min="17" max="17" width="12.08984375" style="380" customWidth="1"/>
    <col min="18" max="18" width="8.7265625" style="380" customWidth="1"/>
    <col min="19" max="19" width="18" style="380" customWidth="1"/>
    <col min="20" max="20" width="19.7265625" style="380" customWidth="1"/>
    <col min="21" max="21" width="8.7265625" style="380" customWidth="1"/>
    <col min="22" max="16384" width="14.453125" style="380"/>
  </cols>
  <sheetData>
    <row r="1" spans="1:21" ht="14.5">
      <c r="A1" s="483" t="s">
        <v>24</v>
      </c>
      <c r="B1" s="483" t="s">
        <v>25</v>
      </c>
      <c r="C1" s="481" t="s">
        <v>60</v>
      </c>
      <c r="D1" s="481" t="s">
        <v>8</v>
      </c>
      <c r="E1" s="481" t="s">
        <v>27</v>
      </c>
      <c r="F1" s="481" t="s">
        <v>10</v>
      </c>
      <c r="G1" s="481" t="s">
        <v>28</v>
      </c>
      <c r="H1" s="481" t="s">
        <v>29</v>
      </c>
      <c r="I1" s="481" t="s">
        <v>30</v>
      </c>
      <c r="J1" s="481" t="s">
        <v>31</v>
      </c>
      <c r="K1" s="481" t="s">
        <v>32</v>
      </c>
      <c r="L1" s="481" t="s">
        <v>33</v>
      </c>
      <c r="M1" s="481" t="s">
        <v>34</v>
      </c>
      <c r="N1" s="481" t="s">
        <v>111</v>
      </c>
      <c r="O1" s="481" t="s">
        <v>36</v>
      </c>
      <c r="P1" s="378"/>
      <c r="Q1" s="378"/>
      <c r="R1" s="379"/>
      <c r="S1" s="379"/>
    </row>
    <row r="2" spans="1:21" ht="14.5">
      <c r="A2" s="484"/>
      <c r="B2" s="484"/>
      <c r="C2" s="482"/>
      <c r="D2" s="482"/>
      <c r="E2" s="482"/>
      <c r="F2" s="482"/>
      <c r="G2" s="482"/>
      <c r="H2" s="482"/>
      <c r="I2" s="482"/>
      <c r="J2" s="482"/>
      <c r="K2" s="482"/>
      <c r="L2" s="509"/>
      <c r="M2" s="509"/>
      <c r="N2" s="482"/>
      <c r="O2" s="482"/>
      <c r="P2" s="381" t="s">
        <v>39</v>
      </c>
      <c r="Q2" s="381" t="s">
        <v>39</v>
      </c>
      <c r="R2" s="379"/>
      <c r="S2" s="379"/>
    </row>
    <row r="3" spans="1:21" ht="24.75" customHeight="1">
      <c r="A3" s="382" t="s">
        <v>40</v>
      </c>
      <c r="B3" s="383" t="s">
        <v>41</v>
      </c>
      <c r="C3" s="384"/>
      <c r="D3" s="385"/>
      <c r="E3" s="381"/>
      <c r="F3" s="386"/>
      <c r="G3" s="387"/>
      <c r="H3" s="388"/>
      <c r="I3" s="388"/>
      <c r="J3" s="388"/>
      <c r="K3" s="506"/>
      <c r="L3" s="510"/>
      <c r="M3" s="510"/>
      <c r="N3" s="389"/>
      <c r="O3" s="389"/>
      <c r="P3" s="388"/>
      <c r="Q3" s="390"/>
      <c r="R3" s="379"/>
      <c r="S3" s="379"/>
    </row>
    <row r="4" spans="1:21" ht="24.75" customHeight="1">
      <c r="A4" s="391">
        <v>1</v>
      </c>
      <c r="B4" s="392" t="s">
        <v>4</v>
      </c>
      <c r="C4" s="393"/>
      <c r="D4" s="394">
        <f>2915551126+20889899</f>
        <v>2936441025</v>
      </c>
      <c r="E4" s="395">
        <f>2982589526+21739899</f>
        <v>3004329425</v>
      </c>
      <c r="F4" s="395">
        <f>2968688467+21639899</f>
        <v>2990328366</v>
      </c>
      <c r="G4" s="396">
        <f>2955746234+21539899</f>
        <v>2977286133</v>
      </c>
      <c r="H4" s="397">
        <f>2931946406+21839899</f>
        <v>2953786305</v>
      </c>
      <c r="I4" s="387">
        <f>2928881449+21839899</f>
        <v>2950721348</v>
      </c>
      <c r="J4" s="387">
        <f>2883704865+21439899</f>
        <v>2905144764</v>
      </c>
      <c r="K4" s="507">
        <f>23471200305+172469192</f>
        <v>23643669497</v>
      </c>
      <c r="L4" s="472">
        <f>2901042284+21539899</f>
        <v>2922582183</v>
      </c>
      <c r="M4" s="472">
        <f>2766705778+18439899</f>
        <v>2785145677</v>
      </c>
      <c r="N4" s="508">
        <f>3168347768+24239899</f>
        <v>3192587667</v>
      </c>
      <c r="O4" s="398">
        <f>35455090629+260458788</f>
        <v>35715549417</v>
      </c>
      <c r="P4" s="387">
        <f t="shared" ref="P4:P10" si="0">D4+E4+F4+G4+H4+I4+J4+K4+L4+M4+N4+O4</f>
        <v>88977571807</v>
      </c>
      <c r="Q4" s="399" t="e">
        <f>P4/C4</f>
        <v>#DIV/0!</v>
      </c>
      <c r="R4" s="379"/>
      <c r="S4" s="400"/>
      <c r="T4" s="401"/>
    </row>
    <row r="5" spans="1:21" ht="24.75" customHeight="1">
      <c r="A5" s="391">
        <v>2</v>
      </c>
      <c r="B5" s="402" t="s">
        <v>42</v>
      </c>
      <c r="C5" s="403"/>
      <c r="D5" s="404"/>
      <c r="E5" s="395"/>
      <c r="F5" s="395">
        <f>45845000</f>
        <v>45845000</v>
      </c>
      <c r="G5" s="387">
        <f>781375101</f>
        <v>781375101</v>
      </c>
      <c r="H5" s="387"/>
      <c r="I5" s="387"/>
      <c r="J5" s="387"/>
      <c r="K5" s="387"/>
      <c r="L5" s="468"/>
      <c r="M5" s="468"/>
      <c r="N5" s="398"/>
      <c r="O5" s="387"/>
      <c r="P5" s="387">
        <f t="shared" si="0"/>
        <v>827220101</v>
      </c>
      <c r="Q5" s="399" t="e">
        <f>P5/C5</f>
        <v>#DIV/0!</v>
      </c>
      <c r="R5" s="379"/>
      <c r="S5" s="400"/>
    </row>
    <row r="6" spans="1:21" ht="24.75" customHeight="1">
      <c r="A6" s="391">
        <v>3</v>
      </c>
      <c r="B6" s="402" t="s">
        <v>43</v>
      </c>
      <c r="C6" s="402"/>
      <c r="D6" s="404"/>
      <c r="E6" s="395"/>
      <c r="F6" s="395"/>
      <c r="G6" s="387">
        <f>4430000</f>
        <v>4430000</v>
      </c>
      <c r="H6" s="387">
        <f>360000</f>
        <v>360000</v>
      </c>
      <c r="I6" s="405"/>
      <c r="J6" s="519">
        <v>2500000</v>
      </c>
      <c r="K6" s="398">
        <f>2500000+4790000</f>
        <v>7290000</v>
      </c>
      <c r="L6" s="398"/>
      <c r="M6" s="398"/>
      <c r="N6" s="398"/>
      <c r="O6" s="398">
        <f>2500000+4790000</f>
        <v>7290000</v>
      </c>
      <c r="P6" s="387">
        <f t="shared" si="0"/>
        <v>21870000</v>
      </c>
      <c r="Q6" s="399" t="e">
        <f>P6/C6</f>
        <v>#DIV/0!</v>
      </c>
      <c r="R6" s="379"/>
      <c r="S6" s="400"/>
    </row>
    <row r="7" spans="1:21" ht="24.75" customHeight="1">
      <c r="A7" s="391">
        <v>4</v>
      </c>
      <c r="B7" s="402" t="s">
        <v>44</v>
      </c>
      <c r="C7" s="403"/>
      <c r="D7" s="404"/>
      <c r="E7" s="395"/>
      <c r="F7" s="395"/>
      <c r="G7" s="387"/>
      <c r="H7" s="406"/>
      <c r="I7" s="387"/>
      <c r="J7" s="387"/>
      <c r="K7" s="387"/>
      <c r="M7" s="387"/>
      <c r="N7" s="387"/>
      <c r="O7" s="387"/>
      <c r="P7" s="387">
        <f t="shared" si="0"/>
        <v>0</v>
      </c>
      <c r="Q7" s="399"/>
      <c r="R7" s="379"/>
      <c r="S7" s="400"/>
    </row>
    <row r="8" spans="1:21" ht="24.75" customHeight="1">
      <c r="A8" s="391">
        <v>5</v>
      </c>
      <c r="B8" s="402" t="s">
        <v>45</v>
      </c>
      <c r="C8" s="403"/>
      <c r="D8" s="404"/>
      <c r="E8" s="395"/>
      <c r="F8" s="395"/>
      <c r="G8" s="387"/>
      <c r="H8" s="406"/>
      <c r="I8" s="387"/>
      <c r="J8" s="387"/>
      <c r="K8" s="387"/>
      <c r="L8" s="387"/>
      <c r="M8" s="387"/>
      <c r="N8" s="387"/>
      <c r="O8" s="387"/>
      <c r="P8" s="387">
        <f t="shared" si="0"/>
        <v>0</v>
      </c>
      <c r="Q8" s="399" t="e">
        <f>P8/C8</f>
        <v>#DIV/0!</v>
      </c>
      <c r="R8" s="379"/>
      <c r="S8" s="400"/>
    </row>
    <row r="9" spans="1:21" ht="24.75" customHeight="1">
      <c r="A9" s="391">
        <v>6</v>
      </c>
      <c r="B9" s="402" t="s">
        <v>46</v>
      </c>
      <c r="C9" s="403"/>
      <c r="D9" s="404"/>
      <c r="E9" s="395"/>
      <c r="F9" s="395">
        <f>450000</f>
        <v>450000</v>
      </c>
      <c r="G9" s="387">
        <f>862599000</f>
        <v>862599000</v>
      </c>
      <c r="H9" s="387"/>
      <c r="I9" s="387"/>
      <c r="J9" s="387"/>
      <c r="K9" s="387">
        <f>863049000</f>
        <v>863049000</v>
      </c>
      <c r="L9" s="387"/>
      <c r="M9" s="387"/>
      <c r="N9" s="387"/>
      <c r="O9" s="387">
        <v>863049000</v>
      </c>
      <c r="P9" s="387">
        <f t="shared" si="0"/>
        <v>2589147000</v>
      </c>
      <c r="Q9" s="399" t="e">
        <f>P9/C9</f>
        <v>#DIV/0!</v>
      </c>
      <c r="R9" s="379"/>
      <c r="S9" s="400"/>
    </row>
    <row r="10" spans="1:21" ht="24.75" customHeight="1">
      <c r="A10" s="391">
        <v>7</v>
      </c>
      <c r="B10" s="402" t="s">
        <v>47</v>
      </c>
      <c r="C10" s="403"/>
      <c r="D10" s="404"/>
      <c r="E10" s="395"/>
      <c r="F10" s="395"/>
      <c r="G10" s="387"/>
      <c r="H10" s="387"/>
      <c r="I10" s="387"/>
      <c r="J10" s="387"/>
      <c r="K10" s="398"/>
      <c r="L10" s="398"/>
      <c r="M10" s="407"/>
      <c r="N10" s="398"/>
      <c r="O10" s="398"/>
      <c r="P10" s="387">
        <f t="shared" si="0"/>
        <v>0</v>
      </c>
      <c r="Q10" s="399" t="e">
        <f>P10/C10</f>
        <v>#DIV/0!</v>
      </c>
      <c r="R10" s="379"/>
      <c r="S10" s="400"/>
    </row>
    <row r="11" spans="1:21" ht="24.75" customHeight="1">
      <c r="A11" s="408"/>
      <c r="B11" s="409" t="s">
        <v>48</v>
      </c>
      <c r="C11" s="410">
        <f>SUM(C4:C10)</f>
        <v>0</v>
      </c>
      <c r="D11" s="410">
        <f t="shared" ref="D11:O11" si="1">SUM(D4:D10)</f>
        <v>2936441025</v>
      </c>
      <c r="E11" s="410">
        <f t="shared" si="1"/>
        <v>3004329425</v>
      </c>
      <c r="F11" s="410">
        <f t="shared" si="1"/>
        <v>3036623366</v>
      </c>
      <c r="G11" s="410">
        <f t="shared" si="1"/>
        <v>4625690234</v>
      </c>
      <c r="H11" s="410">
        <f t="shared" si="1"/>
        <v>2954146305</v>
      </c>
      <c r="I11" s="410">
        <f t="shared" si="1"/>
        <v>2950721348</v>
      </c>
      <c r="J11" s="410">
        <f t="shared" si="1"/>
        <v>2907644764</v>
      </c>
      <c r="K11" s="410">
        <f t="shared" si="1"/>
        <v>24514008497</v>
      </c>
      <c r="L11" s="410">
        <f t="shared" si="1"/>
        <v>2922582183</v>
      </c>
      <c r="M11" s="410">
        <f t="shared" si="1"/>
        <v>2785145677</v>
      </c>
      <c r="N11" s="410">
        <f t="shared" si="1"/>
        <v>3192587667</v>
      </c>
      <c r="O11" s="410">
        <f t="shared" si="1"/>
        <v>36585888417</v>
      </c>
      <c r="P11" s="410">
        <f>SUM(P4:P10)</f>
        <v>92415808908</v>
      </c>
      <c r="Q11" s="411" t="e">
        <f>P11/C11</f>
        <v>#DIV/0!</v>
      </c>
      <c r="R11" s="379"/>
      <c r="S11" s="400"/>
    </row>
    <row r="12" spans="1:21" ht="24.75" customHeight="1">
      <c r="A12" s="408"/>
      <c r="B12" s="409"/>
      <c r="C12" s="409"/>
      <c r="D12" s="412"/>
      <c r="E12" s="412"/>
      <c r="F12" s="412"/>
      <c r="G12" s="413"/>
      <c r="H12" s="412"/>
      <c r="I12" s="412"/>
      <c r="J12" s="412"/>
      <c r="K12" s="412"/>
      <c r="L12" s="412"/>
      <c r="M12" s="412"/>
      <c r="N12" s="412"/>
      <c r="O12" s="414"/>
      <c r="P12" s="412"/>
      <c r="Q12" s="415"/>
      <c r="R12" s="379"/>
      <c r="S12" s="400"/>
    </row>
    <row r="13" spans="1:21" ht="24.75" customHeight="1">
      <c r="A13" s="382" t="s">
        <v>49</v>
      </c>
      <c r="B13" s="383" t="s">
        <v>50</v>
      </c>
      <c r="C13" s="384"/>
      <c r="D13" s="416"/>
      <c r="E13" s="412"/>
      <c r="F13" s="395"/>
      <c r="G13" s="467"/>
      <c r="H13" s="467"/>
      <c r="I13" s="467"/>
      <c r="J13" s="467"/>
      <c r="K13" s="467"/>
      <c r="L13" s="467"/>
      <c r="M13" s="467"/>
      <c r="N13" s="467"/>
      <c r="O13" s="467"/>
      <c r="P13" s="387"/>
      <c r="Q13" s="417"/>
      <c r="R13" s="379"/>
      <c r="S13" s="400"/>
    </row>
    <row r="14" spans="1:21" ht="24.75" customHeight="1">
      <c r="A14" s="391">
        <v>1</v>
      </c>
      <c r="B14" s="402" t="s">
        <v>43</v>
      </c>
      <c r="C14" s="402"/>
      <c r="D14" s="404">
        <f>93732736-20889899-1115169</f>
        <v>71727668</v>
      </c>
      <c r="E14" s="395">
        <f>91131881-21739899-61327-500000</f>
        <v>68830655</v>
      </c>
      <c r="F14" s="464">
        <f>219474181+106322800+729500-67484899-63291316-1742000-27619000-3000000-10601000-2000-7076700-6141000-7530500-7275600-6830000-729500-15565000-5722000</f>
        <v>95915966</v>
      </c>
      <c r="G14" s="470">
        <f>2670146430+5800105096-200000-1505000-8615000-815648000-5115000-272156264-450000000-295326000-11435500-226860344-114250000-328746950-113503555-228389922-113500000-167581500-16026000-200114200-113500000-362879900-113500000-342811389-213512500-261291689-124558222-105882500</f>
        <v>3463342091</v>
      </c>
      <c r="H14" s="470">
        <f>846724800+1684451057-14936000-28377899-127325789-8155556-40000000-41987000-47703778-298000-57198000-6667-3513222-28180000-583077000-24498666-68436000-15710000-556-24948667-2291889-30535000</f>
        <v>1383996168</v>
      </c>
      <c r="I14" s="471">
        <f>144685565+138251334-21839899-5190000-38865222-40000000-2555555-3675556-1723000-33889-11166667-7112000</f>
        <v>150775111</v>
      </c>
      <c r="J14" s="471">
        <f>193675566+17387223+218493500-22218000-21439899-19041000-800000-40020000-19952000-12539000-48127778-32449000-44801000-32258000-1600000-8381000-37972500-29341000-8638889-1400000</f>
        <v>48577223</v>
      </c>
      <c r="K14" s="472">
        <f>4597985613+7754722510+2976358900-1018960293-52153000-1505000-8615000-585933587-800000-570020000-347260000-282326600-114355000-304738677-357906100-166175778-396545950-378338000-114413333-238979844-323611500-113500000-201902500-264530500-599103000-232143366-276106200-237615000-442267056-430220100-113566667-367074389-287023500-213546945-301805356-279144900-150655667-150651500-96351500</f>
        <v>5309221215</v>
      </c>
      <c r="L14" s="472">
        <f>499168852+129560600-9606000-145139899-32635400-8556000-19071600-1044443-1000-25000000-2345000-30125500-22000000-3210000-49000000-66252500</f>
        <v>214742110</v>
      </c>
      <c r="M14" s="472">
        <f>742864561-86548000-257389899-91269773-72600000-556-3000-74000000-4907222-4444-5000000</f>
        <v>151141667</v>
      </c>
      <c r="N14" s="472">
        <f>585013337-35692000-101486899-167755327-50000000-98100000-1333-666667-112222-1111111</f>
        <v>130087778</v>
      </c>
      <c r="O14" s="472">
        <f>11198978037+7754722510+3119564500-331151778-1505000-1582258889-8615000-1149932200-13270556-800000-621025555-347260000-290882600-285055000-304738677-357906100-231199667-396545950-397409600-115459665-238979844-323611500-123505111-201902500-264530500-736769667-232143366-278451200-387637222-442267056-473990600-210677778-367074389-290233500-347556945-301805356-279144900-202355667-150651500-162604000</f>
        <v>9622356209</v>
      </c>
      <c r="P14" s="466">
        <f>SUM(D14:O14)</f>
        <v>20710713861</v>
      </c>
      <c r="Q14" s="399" t="e">
        <f t="shared" ref="Q14:Q20" si="2">P14/C14</f>
        <v>#DIV/0!</v>
      </c>
      <c r="R14" s="379"/>
      <c r="S14" s="400"/>
      <c r="T14" s="418"/>
      <c r="U14" s="419"/>
    </row>
    <row r="15" spans="1:21" ht="24.75" customHeight="1">
      <c r="A15" s="391">
        <v>2</v>
      </c>
      <c r="B15" s="402" t="s">
        <v>51</v>
      </c>
      <c r="C15" s="403"/>
      <c r="D15" s="404">
        <f>67319000+1115169+6758000</f>
        <v>75192169</v>
      </c>
      <c r="E15" s="395">
        <f>101010000+61327+500000</f>
        <v>101571327</v>
      </c>
      <c r="F15" s="465">
        <f>203360000+63291316+1742000+27619000+3000000+10601000+2000+7076700+6141000+7530500+7275600+6830000+729500+15565000+5722000</f>
        <v>366485616</v>
      </c>
      <c r="G15" s="471">
        <f>394746000+200000+1505000+500000+8615000+272156264+5115000+450000000+295326000+11435500+226860344+114250000+328746950+113503555+228389922+113500000+167581500+16026000+200114200+113500000+362879900+113500000+342811389+213512500+261291689+124558222+105882500</f>
        <v>4586507435</v>
      </c>
      <c r="H15" s="471">
        <f>173013000+14936000+6538000+127325789+8155556+40000000+41987000+47703778+298000+57198000+6667+3513222+28180000+583077000+24498666+68436000+15710000+556+24948667+2291889+30535000</f>
        <v>1298352790</v>
      </c>
      <c r="I15" s="471">
        <f>167725000+5190000+38865222+40000000+2555555+3675556+1723000+33889+11166667+7112000</f>
        <v>278046889</v>
      </c>
      <c r="J15" s="471">
        <f>198470000+22218000+19041000+800000+40020000+19952000+12539000+48127778+32449000+44801000+32258000+1600000+8381000+37972500+29341000+8638889+1400000</f>
        <v>558009167</v>
      </c>
      <c r="K15" s="471">
        <f>1435708000+1018960293-172469192+52153000+1505000+8615000+585933587+800000+570020000+347260000+282326600+114355000+304738677+357906100+166175778+396545950+378338000+114413333+238979844+323611500+113500000+201902500+264530500+599103000+232143366+276106200+237615000+442267056+430220100+113566667+367074389+287023500+213546945+301805356+279144900+150655667+150651500+96351500</f>
        <v>11283084616</v>
      </c>
      <c r="L15" s="472">
        <f>332980000+9606000+32635400+8556000+19071600+1044443+1000+25000000+2345000+30125500+22000000+3210000+49000000+66252500</f>
        <v>601827443</v>
      </c>
      <c r="M15" s="473">
        <f>174820000+86548000+91269773+72600000+556+3000+74000000+4907222+4444+5000000</f>
        <v>509152995</v>
      </c>
      <c r="N15" s="472">
        <f>197472000+35692000+167755327+50000000+98100000+1333+666667+112222+1111111+77247000</f>
        <v>628157660</v>
      </c>
      <c r="O15" s="472">
        <f>2527110000+331151778+1505000+1582258889-260458788-374783000+8615000+1149932200+13270556+800000+621025555+347260000+290882600+285055000+304738677+357906100+231199667+396545950+397409600+115459665+238979844+323611500+123505111+201902500+264530500+736769667+232143366+278451200+387637222+442267056+473990600+210677778+367074389+290233500+347556945+301805356+279144900+202355667+150651500+162604000</f>
        <v>14342777050</v>
      </c>
      <c r="P15" s="466">
        <f t="shared" ref="P15:P18" si="3">SUM(D15:O15)</f>
        <v>34629165157</v>
      </c>
      <c r="Q15" s="399" t="e">
        <f t="shared" si="2"/>
        <v>#DIV/0!</v>
      </c>
      <c r="R15" s="379"/>
      <c r="S15" s="400"/>
      <c r="T15" s="419"/>
      <c r="U15" s="423"/>
    </row>
    <row r="16" spans="1:21" ht="24.75" customHeight="1">
      <c r="A16" s="391">
        <v>3</v>
      </c>
      <c r="B16" s="402" t="s">
        <v>52</v>
      </c>
      <c r="C16" s="403"/>
      <c r="D16" s="404"/>
      <c r="E16" s="395"/>
      <c r="F16" s="464"/>
      <c r="G16" s="471"/>
      <c r="H16" s="471"/>
      <c r="I16" s="471"/>
      <c r="J16" s="471"/>
      <c r="K16" s="511"/>
      <c r="L16" s="471"/>
      <c r="M16" s="514"/>
      <c r="N16" s="471"/>
      <c r="O16" s="472"/>
      <c r="P16" s="466">
        <f t="shared" si="3"/>
        <v>0</v>
      </c>
      <c r="Q16" s="399" t="e">
        <f t="shared" si="2"/>
        <v>#DIV/0!</v>
      </c>
      <c r="R16" s="379"/>
      <c r="S16" s="400"/>
      <c r="T16" s="424"/>
      <c r="U16" s="425"/>
    </row>
    <row r="17" spans="1:21" ht="24.75" customHeight="1">
      <c r="A17" s="391">
        <v>4</v>
      </c>
      <c r="B17" s="402" t="s">
        <v>53</v>
      </c>
      <c r="C17" s="395"/>
      <c r="D17" s="404"/>
      <c r="E17" s="395"/>
      <c r="F17" s="464"/>
      <c r="G17" s="471">
        <v>12233000</v>
      </c>
      <c r="H17" s="471"/>
      <c r="I17" s="471"/>
      <c r="J17" s="471"/>
      <c r="K17" s="512"/>
      <c r="L17" s="517">
        <v>123600000</v>
      </c>
      <c r="M17" s="518">
        <v>238950000</v>
      </c>
      <c r="N17" s="472"/>
      <c r="O17" s="472">
        <f>374783000</f>
        <v>374783000</v>
      </c>
      <c r="P17" s="466">
        <f t="shared" si="3"/>
        <v>749566000</v>
      </c>
      <c r="Q17" s="399" t="e">
        <f t="shared" si="2"/>
        <v>#DIV/0!</v>
      </c>
      <c r="R17" s="379"/>
      <c r="S17" s="400"/>
      <c r="T17" s="424"/>
      <c r="U17" s="427"/>
    </row>
    <row r="18" spans="1:21" ht="24.75" customHeight="1">
      <c r="A18" s="391">
        <v>5</v>
      </c>
      <c r="B18" s="402" t="s">
        <v>54</v>
      </c>
      <c r="C18" s="403"/>
      <c r="D18" s="404"/>
      <c r="E18" s="412"/>
      <c r="F18" s="395"/>
      <c r="G18" s="468"/>
      <c r="H18" s="468"/>
      <c r="I18" s="468">
        <f>790750000</f>
        <v>790750000</v>
      </c>
      <c r="J18" s="468">
        <v>184810000</v>
      </c>
      <c r="K18" s="513">
        <f>991970000</f>
        <v>991970000</v>
      </c>
      <c r="L18" s="471"/>
      <c r="M18" s="515">
        <f>1000000</f>
        <v>1000000</v>
      </c>
      <c r="N18" s="468">
        <f>3700000</f>
        <v>3700000</v>
      </c>
      <c r="O18" s="469">
        <f>996670000</f>
        <v>996670000</v>
      </c>
      <c r="P18" s="466">
        <f t="shared" si="3"/>
        <v>2968900000</v>
      </c>
      <c r="Q18" s="399" t="e">
        <f t="shared" si="2"/>
        <v>#DIV/0!</v>
      </c>
      <c r="R18" s="379"/>
      <c r="S18" s="400"/>
      <c r="T18" s="424"/>
      <c r="U18" s="428"/>
    </row>
    <row r="19" spans="1:21" ht="24.75" customHeight="1">
      <c r="A19" s="408"/>
      <c r="B19" s="384" t="s">
        <v>55</v>
      </c>
      <c r="C19" s="410">
        <f t="shared" ref="C19:P19" si="4">SUM(C14:C18)</f>
        <v>0</v>
      </c>
      <c r="D19" s="410">
        <f t="shared" si="4"/>
        <v>146919837</v>
      </c>
      <c r="E19" s="410">
        <f t="shared" si="4"/>
        <v>170401982</v>
      </c>
      <c r="F19" s="410">
        <f t="shared" si="4"/>
        <v>462401582</v>
      </c>
      <c r="G19" s="410">
        <f t="shared" si="4"/>
        <v>8062082526</v>
      </c>
      <c r="H19" s="410">
        <f t="shared" si="4"/>
        <v>2682348958</v>
      </c>
      <c r="I19" s="410">
        <f>SUM(I14:I18)</f>
        <v>1219572000</v>
      </c>
      <c r="J19" s="410">
        <f t="shared" si="4"/>
        <v>791396390</v>
      </c>
      <c r="K19" s="410">
        <f t="shared" si="4"/>
        <v>17584275831</v>
      </c>
      <c r="L19" s="516">
        <f t="shared" si="4"/>
        <v>940169553</v>
      </c>
      <c r="M19" s="410">
        <f>SUM(M14:M18)</f>
        <v>900244662</v>
      </c>
      <c r="N19" s="410">
        <f t="shared" si="4"/>
        <v>761945438</v>
      </c>
      <c r="O19" s="410">
        <f t="shared" si="4"/>
        <v>25336586259</v>
      </c>
      <c r="P19" s="410">
        <f t="shared" si="4"/>
        <v>59058345018</v>
      </c>
      <c r="Q19" s="411" t="e">
        <f t="shared" si="2"/>
        <v>#DIV/0!</v>
      </c>
      <c r="R19" s="379"/>
      <c r="S19" s="400"/>
      <c r="T19" s="424"/>
      <c r="U19" s="428"/>
    </row>
    <row r="20" spans="1:21" ht="24.75" customHeight="1">
      <c r="A20" s="408"/>
      <c r="B20" s="384" t="s">
        <v>56</v>
      </c>
      <c r="C20" s="410">
        <f t="shared" ref="C20:P20" si="5">C19+C11</f>
        <v>0</v>
      </c>
      <c r="D20" s="410">
        <f>D19+D11</f>
        <v>3083360862</v>
      </c>
      <c r="E20" s="410">
        <f t="shared" si="5"/>
        <v>3174731407</v>
      </c>
      <c r="F20" s="410">
        <f t="shared" si="5"/>
        <v>3499024948</v>
      </c>
      <c r="G20" s="410">
        <f t="shared" si="5"/>
        <v>12687772760</v>
      </c>
      <c r="H20" s="410">
        <f t="shared" si="5"/>
        <v>5636495263</v>
      </c>
      <c r="I20" s="410">
        <f t="shared" si="5"/>
        <v>4170293348</v>
      </c>
      <c r="J20" s="410">
        <f t="shared" si="5"/>
        <v>3699041154</v>
      </c>
      <c r="K20" s="410">
        <f t="shared" si="5"/>
        <v>42098284328</v>
      </c>
      <c r="L20" s="410">
        <f>L19+L11</f>
        <v>3862751736</v>
      </c>
      <c r="M20" s="410">
        <f t="shared" si="5"/>
        <v>3685390339</v>
      </c>
      <c r="N20" s="410">
        <f t="shared" si="5"/>
        <v>3954533105</v>
      </c>
      <c r="O20" s="410">
        <f t="shared" si="5"/>
        <v>61922474676</v>
      </c>
      <c r="P20" s="410">
        <f t="shared" si="5"/>
        <v>151474153926</v>
      </c>
      <c r="Q20" s="411" t="e">
        <f t="shared" si="2"/>
        <v>#DIV/0!</v>
      </c>
      <c r="R20" s="379"/>
      <c r="S20" s="400"/>
      <c r="T20" s="424"/>
      <c r="U20" s="429"/>
    </row>
    <row r="21" spans="1:21" ht="15.75" customHeight="1">
      <c r="A21" s="430"/>
      <c r="B21" s="431"/>
      <c r="C21" s="432"/>
      <c r="D21" s="433"/>
      <c r="E21" s="433"/>
      <c r="F21" s="433"/>
      <c r="G21" s="432">
        <f>12687772760-G20</f>
        <v>0</v>
      </c>
      <c r="H21" s="434"/>
      <c r="I21" s="434">
        <f>4170293348-I20</f>
        <v>0</v>
      </c>
      <c r="J21" s="434"/>
      <c r="L21" s="431"/>
      <c r="M21" s="431"/>
      <c r="N21" s="432">
        <f>3954533105-N20</f>
        <v>0</v>
      </c>
      <c r="O21" s="432">
        <f>61922474676-O20</f>
        <v>0</v>
      </c>
      <c r="P21" s="435"/>
      <c r="Q21" s="431"/>
      <c r="R21" s="379"/>
      <c r="S21" s="400"/>
      <c r="T21" s="436"/>
      <c r="U21" s="429"/>
    </row>
    <row r="22" spans="1:21" ht="15.75" customHeight="1">
      <c r="A22" s="437"/>
      <c r="B22" s="437"/>
      <c r="C22" s="437"/>
      <c r="D22" s="438"/>
      <c r="E22" s="438"/>
      <c r="F22" s="438"/>
      <c r="G22" s="438"/>
      <c r="H22" s="438"/>
      <c r="I22" s="438"/>
      <c r="J22" s="438"/>
      <c r="K22" s="438"/>
      <c r="L22" s="438"/>
      <c r="M22" s="439"/>
      <c r="N22" s="440"/>
      <c r="O22" s="441"/>
      <c r="P22" s="424"/>
      <c r="Q22" s="437"/>
      <c r="R22" s="424"/>
      <c r="S22" s="400"/>
      <c r="T22" s="429"/>
      <c r="U22" s="429"/>
    </row>
    <row r="23" spans="1:21" ht="15.75" customHeight="1">
      <c r="A23" s="437"/>
      <c r="B23" s="437"/>
      <c r="C23" s="437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42"/>
      <c r="P23" s="424"/>
      <c r="Q23" s="424"/>
      <c r="S23" s="400"/>
      <c r="T23" s="429"/>
      <c r="U23" s="429"/>
    </row>
    <row r="24" spans="1:21" ht="15.75" customHeight="1">
      <c r="A24" s="437"/>
      <c r="B24" s="437"/>
      <c r="C24" s="437" t="s">
        <v>112</v>
      </c>
      <c r="E24" s="424"/>
      <c r="F24" s="424"/>
      <c r="G24" s="424"/>
      <c r="H24" s="434"/>
      <c r="I24" s="443"/>
      <c r="J24" s="443"/>
      <c r="K24" s="443"/>
      <c r="L24" s="444"/>
      <c r="M24" s="444"/>
      <c r="N24" s="445"/>
      <c r="O24" s="444"/>
      <c r="P24" s="434"/>
      <c r="Q24" s="437"/>
      <c r="S24" s="400"/>
      <c r="T24" s="429"/>
      <c r="U24" s="429"/>
    </row>
    <row r="25" spans="1:21" ht="15.75" customHeight="1">
      <c r="A25" s="437"/>
      <c r="B25" s="437" t="s">
        <v>64</v>
      </c>
      <c r="C25" s="380" t="s">
        <v>113</v>
      </c>
      <c r="D25" s="438"/>
      <c r="E25" s="438"/>
      <c r="F25" s="446"/>
      <c r="G25" s="424"/>
      <c r="H25" s="438"/>
      <c r="I25" s="438"/>
      <c r="J25" s="438"/>
      <c r="K25" s="435"/>
      <c r="M25" s="447"/>
      <c r="N25" s="444"/>
      <c r="O25" s="444"/>
      <c r="P25" s="448"/>
      <c r="Q25" s="437"/>
      <c r="T25" s="429"/>
      <c r="U25" s="429"/>
    </row>
    <row r="26" spans="1:21" ht="15.75" customHeight="1">
      <c r="A26" s="437"/>
      <c r="B26" s="437" t="s">
        <v>65</v>
      </c>
      <c r="C26" s="449"/>
      <c r="D26" s="450"/>
      <c r="E26" s="437"/>
      <c r="F26" s="441"/>
      <c r="G26" s="443"/>
      <c r="H26" s="437"/>
      <c r="I26" s="437"/>
      <c r="J26" s="437"/>
      <c r="K26" s="451"/>
      <c r="L26" s="452"/>
      <c r="M26" s="453"/>
      <c r="N26" s="443"/>
      <c r="O26" s="453"/>
      <c r="P26" s="437"/>
      <c r="Q26" s="437"/>
    </row>
    <row r="27" spans="1:21" ht="15.75" customHeight="1">
      <c r="A27" s="437"/>
      <c r="B27" s="437" t="s">
        <v>66</v>
      </c>
      <c r="C27" s="449"/>
      <c r="D27" s="454"/>
      <c r="E27" s="450"/>
      <c r="F27" s="441"/>
      <c r="G27" s="455"/>
      <c r="H27" s="456"/>
      <c r="I27" s="448"/>
      <c r="J27" s="448"/>
      <c r="K27" s="451"/>
      <c r="L27" s="435"/>
      <c r="M27" s="453"/>
      <c r="N27" s="457"/>
      <c r="O27" s="444"/>
      <c r="P27" s="438"/>
      <c r="Q27" s="456"/>
      <c r="R27" s="429"/>
      <c r="S27" s="429"/>
      <c r="T27" s="429"/>
    </row>
    <row r="28" spans="1:21" ht="15.75" customHeight="1">
      <c r="A28" s="437"/>
      <c r="B28" s="437" t="s">
        <v>67</v>
      </c>
      <c r="C28" s="449"/>
      <c r="D28" s="454"/>
      <c r="E28" s="450"/>
      <c r="F28" s="441"/>
      <c r="G28" s="455"/>
      <c r="H28" s="456"/>
      <c r="I28" s="456"/>
      <c r="J28" s="434"/>
      <c r="K28" s="451"/>
      <c r="L28" s="458"/>
      <c r="M28" s="453"/>
      <c r="N28" s="444"/>
      <c r="O28" s="444"/>
      <c r="P28" s="456"/>
      <c r="Q28" s="456"/>
      <c r="R28" s="429"/>
      <c r="S28" s="429"/>
      <c r="T28" s="429"/>
    </row>
    <row r="29" spans="1:21" ht="15.75" customHeight="1">
      <c r="A29" s="437"/>
      <c r="B29" s="437" t="s">
        <v>68</v>
      </c>
      <c r="C29" s="437"/>
      <c r="E29" s="450"/>
      <c r="F29" s="441"/>
      <c r="G29" s="455"/>
      <c r="H29" s="456"/>
      <c r="I29" s="438"/>
      <c r="J29" s="459"/>
      <c r="K29" s="451"/>
      <c r="L29" s="435"/>
      <c r="M29" s="453"/>
      <c r="N29" s="451"/>
      <c r="O29" s="453"/>
      <c r="P29" s="456"/>
      <c r="Q29" s="456"/>
      <c r="R29" s="429"/>
      <c r="S29" s="429"/>
      <c r="T29" s="429"/>
    </row>
    <row r="30" spans="1:21" ht="15.75" customHeight="1">
      <c r="A30" s="437"/>
      <c r="B30" s="437" t="s">
        <v>114</v>
      </c>
      <c r="C30" s="437"/>
      <c r="D30" s="454"/>
      <c r="E30" s="450"/>
      <c r="F30" s="441"/>
      <c r="G30" s="455"/>
      <c r="H30" s="437"/>
      <c r="I30" s="437"/>
      <c r="J30" s="459"/>
      <c r="K30" s="451"/>
      <c r="L30" s="441"/>
      <c r="M30" s="459"/>
      <c r="N30" s="459"/>
      <c r="O30" s="459"/>
      <c r="P30" s="437"/>
      <c r="Q30" s="437"/>
    </row>
    <row r="31" spans="1:21" ht="15.75" customHeight="1">
      <c r="A31" s="437"/>
      <c r="B31" s="437"/>
      <c r="C31" s="437"/>
      <c r="D31" s="454"/>
      <c r="E31" s="450"/>
      <c r="F31" s="441"/>
      <c r="G31" s="455"/>
      <c r="H31" s="437"/>
      <c r="I31" s="437"/>
      <c r="J31" s="459"/>
      <c r="K31" s="437"/>
      <c r="M31" s="437"/>
      <c r="O31" s="437"/>
      <c r="P31" s="437"/>
      <c r="Q31" s="437"/>
    </row>
    <row r="32" spans="1:21" ht="15.75" customHeight="1">
      <c r="A32" s="437"/>
      <c r="B32" s="460"/>
      <c r="C32" s="437"/>
      <c r="D32" s="454"/>
      <c r="E32" s="450"/>
      <c r="G32" s="437"/>
      <c r="H32" s="437"/>
      <c r="I32" s="437"/>
      <c r="J32" s="459"/>
      <c r="K32" s="437"/>
      <c r="L32" s="441"/>
      <c r="M32" s="442"/>
      <c r="N32" s="437"/>
      <c r="O32" s="437"/>
      <c r="P32" s="437"/>
      <c r="Q32" s="437"/>
    </row>
    <row r="33" spans="4:12" ht="15.75" customHeight="1">
      <c r="D33" s="454"/>
      <c r="I33" s="461"/>
      <c r="J33" s="459"/>
      <c r="L33" s="435"/>
    </row>
    <row r="34" spans="4:12" ht="15.75" customHeight="1">
      <c r="L34" s="435"/>
    </row>
    <row r="35" spans="4:12" ht="15.75" customHeight="1">
      <c r="L35" s="435"/>
    </row>
    <row r="36" spans="4:12" ht="15.75" customHeight="1"/>
    <row r="37" spans="4:12" ht="15.75" customHeight="1"/>
    <row r="38" spans="4:12" ht="15.75" customHeight="1"/>
    <row r="39" spans="4:12" ht="15.75" customHeight="1"/>
    <row r="40" spans="4:12" ht="15.75" customHeight="1"/>
    <row r="41" spans="4:12" ht="15.75" customHeight="1"/>
    <row r="42" spans="4:12" ht="15.75" customHeight="1">
      <c r="F42" s="418"/>
      <c r="G42" s="419"/>
    </row>
    <row r="43" spans="4:12" ht="15.75" customHeight="1">
      <c r="F43" s="418"/>
      <c r="G43" s="419"/>
    </row>
    <row r="44" spans="4:12" ht="15.75" customHeight="1">
      <c r="F44" s="418"/>
      <c r="G44" s="419"/>
    </row>
    <row r="45" spans="4:12" ht="15.75" customHeight="1">
      <c r="F45" s="418"/>
      <c r="G45" s="419"/>
    </row>
    <row r="46" spans="4:12" ht="15.75" customHeight="1">
      <c r="F46" s="418"/>
      <c r="G46" s="419"/>
    </row>
    <row r="47" spans="4:12" ht="15.75" customHeight="1">
      <c r="F47" s="418"/>
      <c r="G47" s="419"/>
    </row>
    <row r="48" spans="4:12" ht="15.75" customHeight="1">
      <c r="F48" s="462"/>
      <c r="G48" s="463"/>
    </row>
    <row r="49" spans="6:7" ht="15.75" customHeight="1">
      <c r="F49" s="462"/>
      <c r="G49" s="463"/>
    </row>
    <row r="50" spans="6:7" ht="15.75" customHeight="1">
      <c r="F50" s="462"/>
      <c r="G50" s="419"/>
    </row>
    <row r="51" spans="6:7" ht="15.75" customHeight="1">
      <c r="F51" s="418"/>
      <c r="G51" s="423"/>
    </row>
    <row r="52" spans="6:7" ht="15.75" customHeight="1">
      <c r="F52" s="418"/>
      <c r="G52" s="419"/>
    </row>
    <row r="53" spans="6:7" ht="15.75" customHeight="1">
      <c r="F53" s="418"/>
      <c r="G53" s="419"/>
    </row>
    <row r="54" spans="6:7" ht="15.75" customHeight="1">
      <c r="F54" s="418"/>
      <c r="G54" s="419"/>
    </row>
    <row r="55" spans="6:7" ht="15.75" customHeight="1"/>
    <row r="56" spans="6:7" ht="15.75" customHeight="1"/>
    <row r="57" spans="6:7" ht="15.75" customHeight="1"/>
    <row r="58" spans="6:7" ht="15.75" customHeight="1"/>
    <row r="59" spans="6:7" ht="15.75" customHeight="1"/>
    <row r="60" spans="6:7" ht="15.75" customHeight="1"/>
    <row r="61" spans="6:7" ht="15.75" customHeight="1"/>
    <row r="62" spans="6:7" ht="15.75" customHeight="1"/>
    <row r="63" spans="6:7" ht="15.75" customHeight="1"/>
    <row r="64" spans="6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M1:M2"/>
    <mergeCell ref="N1:N2"/>
    <mergeCell ref="O1:O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25650916104146582" right="0.47251687560270011" top="1" bottom="1" header="0" footer="0"/>
  <pageSetup paperSize="5" scale="3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A5D4-11D9-46E5-9663-E9FBB9F989D4}">
  <dimension ref="A1:U1000"/>
  <sheetViews>
    <sheetView topLeftCell="A8" zoomScale="70" zoomScaleNormal="70" workbookViewId="0">
      <pane xSplit="2" topLeftCell="N1" activePane="topRight" state="frozen"/>
      <selection pane="topRight" activeCell="O15" sqref="O15"/>
    </sheetView>
  </sheetViews>
  <sheetFormatPr defaultColWidth="14.453125" defaultRowHeight="15" customHeight="1"/>
  <cols>
    <col min="1" max="1" width="9.453125" style="380" customWidth="1"/>
    <col min="2" max="2" width="26.81640625" style="380" customWidth="1"/>
    <col min="3" max="3" width="21.7265625" style="380" customWidth="1"/>
    <col min="4" max="10" width="19.54296875" style="380" customWidth="1"/>
    <col min="11" max="16" width="20.7265625" style="380" customWidth="1"/>
    <col min="17" max="17" width="12.08984375" style="380" customWidth="1"/>
    <col min="18" max="18" width="8.7265625" style="380" customWidth="1"/>
    <col min="19" max="19" width="18" style="380" customWidth="1"/>
    <col min="20" max="20" width="19.7265625" style="380" customWidth="1"/>
    <col min="21" max="21" width="8.7265625" style="380" customWidth="1"/>
    <col min="22" max="16384" width="14.453125" style="380"/>
  </cols>
  <sheetData>
    <row r="1" spans="1:21" ht="14.5">
      <c r="A1" s="483" t="s">
        <v>24</v>
      </c>
      <c r="B1" s="483" t="s">
        <v>25</v>
      </c>
      <c r="C1" s="481" t="s">
        <v>60</v>
      </c>
      <c r="D1" s="481" t="s">
        <v>8</v>
      </c>
      <c r="E1" s="481" t="s">
        <v>27</v>
      </c>
      <c r="F1" s="481" t="s">
        <v>10</v>
      </c>
      <c r="G1" s="481" t="s">
        <v>28</v>
      </c>
      <c r="H1" s="481" t="s">
        <v>29</v>
      </c>
      <c r="I1" s="481" t="s">
        <v>30</v>
      </c>
      <c r="J1" s="481" t="s">
        <v>31</v>
      </c>
      <c r="K1" s="481" t="s">
        <v>32</v>
      </c>
      <c r="L1" s="481" t="s">
        <v>33</v>
      </c>
      <c r="M1" s="481" t="s">
        <v>34</v>
      </c>
      <c r="N1" s="481" t="s">
        <v>111</v>
      </c>
      <c r="O1" s="481" t="s">
        <v>36</v>
      </c>
      <c r="P1" s="378"/>
      <c r="Q1" s="378"/>
      <c r="R1" s="379"/>
      <c r="S1" s="379"/>
    </row>
    <row r="2" spans="1:21" ht="14.5">
      <c r="A2" s="484"/>
      <c r="B2" s="484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381" t="s">
        <v>39</v>
      </c>
      <c r="Q2" s="381" t="s">
        <v>39</v>
      </c>
      <c r="R2" s="379"/>
      <c r="S2" s="379"/>
    </row>
    <row r="3" spans="1:21" ht="24.75" customHeight="1">
      <c r="A3" s="382" t="s">
        <v>40</v>
      </c>
      <c r="B3" s="383" t="s">
        <v>41</v>
      </c>
      <c r="C3" s="384"/>
      <c r="D3" s="385"/>
      <c r="E3" s="381"/>
      <c r="F3" s="386"/>
      <c r="G3" s="387"/>
      <c r="H3" s="388"/>
      <c r="I3" s="388"/>
      <c r="J3" s="388"/>
      <c r="K3" s="388"/>
      <c r="L3" s="389"/>
      <c r="M3" s="389"/>
      <c r="N3" s="389"/>
      <c r="O3" s="389"/>
      <c r="P3" s="388"/>
      <c r="Q3" s="390"/>
      <c r="R3" s="379"/>
      <c r="S3" s="379"/>
    </row>
    <row r="4" spans="1:21" ht="24.75" customHeight="1">
      <c r="A4" s="391">
        <v>1</v>
      </c>
      <c r="B4" s="392" t="s">
        <v>4</v>
      </c>
      <c r="C4" s="393"/>
      <c r="D4" s="394">
        <f>162281363+150000</f>
        <v>162431363</v>
      </c>
      <c r="E4" s="395">
        <f>178993622+150000</f>
        <v>179143622</v>
      </c>
      <c r="F4" s="395">
        <f>179507278+150000</f>
        <v>179657278</v>
      </c>
      <c r="G4" s="396">
        <f>178191415+150000</f>
        <v>178341415</v>
      </c>
      <c r="H4" s="397">
        <f>180407651+150000</f>
        <v>180557651</v>
      </c>
      <c r="I4" s="387">
        <f>185736658+50000</f>
        <v>185786658</v>
      </c>
      <c r="J4" s="387">
        <f>180483650+50000</f>
        <v>180533650</v>
      </c>
      <c r="K4" s="398">
        <f>181181506+50000</f>
        <v>181231506</v>
      </c>
      <c r="L4" s="398">
        <f>182590498+50000</f>
        <v>182640498</v>
      </c>
      <c r="M4" s="398">
        <v>169005750</v>
      </c>
      <c r="N4" s="398">
        <f>186542322+1468000</f>
        <v>188010322</v>
      </c>
      <c r="O4" s="398">
        <f>182154535+1468000</f>
        <v>183622535</v>
      </c>
      <c r="P4" s="387">
        <f t="shared" ref="P4:P10" si="0">D4+E4+F4+G4+H4+I4+J4+K4+L4+M4+N4+O4</f>
        <v>2150962248</v>
      </c>
      <c r="Q4" s="399" t="e">
        <f>P4/C4</f>
        <v>#DIV/0!</v>
      </c>
      <c r="R4" s="379"/>
      <c r="S4" s="400"/>
      <c r="T4" s="401"/>
    </row>
    <row r="5" spans="1:21" ht="24.75" customHeight="1">
      <c r="A5" s="391">
        <v>2</v>
      </c>
      <c r="B5" s="402" t="s">
        <v>42</v>
      </c>
      <c r="C5" s="403"/>
      <c r="D5" s="404"/>
      <c r="E5" s="395"/>
      <c r="F5" s="395">
        <f>750000+63250100</f>
        <v>64000100</v>
      </c>
      <c r="G5" s="387">
        <f>109070000</f>
        <v>109070000</v>
      </c>
      <c r="H5" s="387">
        <f>4500000</f>
        <v>4500000</v>
      </c>
      <c r="I5" s="387"/>
      <c r="J5" s="387"/>
      <c r="K5" s="387"/>
      <c r="L5" s="387"/>
      <c r="M5" s="387"/>
      <c r="N5" s="398"/>
      <c r="O5" s="387"/>
      <c r="P5" s="387">
        <f t="shared" si="0"/>
        <v>177570100</v>
      </c>
      <c r="Q5" s="399" t="e">
        <f>P5/C5</f>
        <v>#DIV/0!</v>
      </c>
      <c r="R5" s="379"/>
      <c r="S5" s="400"/>
    </row>
    <row r="6" spans="1:21" ht="24.75" customHeight="1">
      <c r="A6" s="391">
        <v>3</v>
      </c>
      <c r="B6" s="402" t="s">
        <v>43</v>
      </c>
      <c r="C6" s="402"/>
      <c r="D6" s="404">
        <f>2040000</f>
        <v>2040000</v>
      </c>
      <c r="E6" s="395"/>
      <c r="F6" s="395"/>
      <c r="G6" s="387"/>
      <c r="H6" s="387"/>
      <c r="I6" s="405"/>
      <c r="J6" s="405"/>
      <c r="K6" s="398"/>
      <c r="L6" s="398"/>
      <c r="M6" s="398"/>
      <c r="N6" s="398"/>
      <c r="O6" s="398"/>
      <c r="P6" s="387">
        <f t="shared" si="0"/>
        <v>2040000</v>
      </c>
      <c r="Q6" s="399" t="e">
        <f>P6/C6</f>
        <v>#DIV/0!</v>
      </c>
      <c r="R6" s="379"/>
      <c r="S6" s="400"/>
    </row>
    <row r="7" spans="1:21" ht="24.75" customHeight="1">
      <c r="A7" s="391">
        <v>4</v>
      </c>
      <c r="B7" s="402" t="s">
        <v>44</v>
      </c>
      <c r="C7" s="403"/>
      <c r="D7" s="404"/>
      <c r="E7" s="395"/>
      <c r="F7" s="395"/>
      <c r="G7" s="387"/>
      <c r="H7" s="406"/>
      <c r="I7" s="387"/>
      <c r="J7" s="387"/>
      <c r="K7" s="387"/>
      <c r="M7" s="387"/>
      <c r="N7" s="387"/>
      <c r="O7" s="387"/>
      <c r="P7" s="387">
        <f t="shared" si="0"/>
        <v>0</v>
      </c>
      <c r="Q7" s="399"/>
      <c r="R7" s="379"/>
      <c r="S7" s="400"/>
    </row>
    <row r="8" spans="1:21" ht="24.75" customHeight="1">
      <c r="A8" s="391">
        <v>5</v>
      </c>
      <c r="B8" s="402" t="s">
        <v>45</v>
      </c>
      <c r="C8" s="403"/>
      <c r="D8" s="404"/>
      <c r="E8" s="395"/>
      <c r="F8" s="395"/>
      <c r="G8" s="387"/>
      <c r="H8" s="406"/>
      <c r="I8" s="387"/>
      <c r="J8" s="387"/>
      <c r="K8" s="387"/>
      <c r="L8" s="387"/>
      <c r="M8" s="387"/>
      <c r="N8" s="387"/>
      <c r="O8" s="387"/>
      <c r="P8" s="387">
        <f t="shared" si="0"/>
        <v>0</v>
      </c>
      <c r="Q8" s="399" t="e">
        <f>P8/C8</f>
        <v>#DIV/0!</v>
      </c>
      <c r="R8" s="379"/>
      <c r="S8" s="400"/>
    </row>
    <row r="9" spans="1:21" ht="24.75" customHeight="1">
      <c r="A9" s="391">
        <v>6</v>
      </c>
      <c r="B9" s="402" t="s">
        <v>46</v>
      </c>
      <c r="C9" s="403"/>
      <c r="D9" s="404"/>
      <c r="E9" s="395"/>
      <c r="F9" s="395"/>
      <c r="G9" s="387">
        <f>50000000</f>
        <v>50000000</v>
      </c>
      <c r="H9" s="387">
        <v>20000000</v>
      </c>
      <c r="I9" s="387"/>
      <c r="J9" s="387"/>
      <c r="K9" s="387"/>
      <c r="L9" s="387"/>
      <c r="M9" s="387"/>
      <c r="N9" s="387"/>
      <c r="O9" s="387"/>
      <c r="P9" s="387">
        <f t="shared" si="0"/>
        <v>70000000</v>
      </c>
      <c r="Q9" s="399" t="e">
        <f>P9/C9</f>
        <v>#DIV/0!</v>
      </c>
      <c r="R9" s="379"/>
      <c r="S9" s="400" t="e">
        <f>#REF!+P9</f>
        <v>#REF!</v>
      </c>
    </row>
    <row r="10" spans="1:21" ht="24.75" customHeight="1">
      <c r="A10" s="391">
        <v>7</v>
      </c>
      <c r="B10" s="402" t="s">
        <v>47</v>
      </c>
      <c r="C10" s="403"/>
      <c r="D10" s="404"/>
      <c r="E10" s="395"/>
      <c r="F10" s="395"/>
      <c r="G10" s="387">
        <f>3100000</f>
        <v>3100000</v>
      </c>
      <c r="H10" s="387"/>
      <c r="I10" s="387"/>
      <c r="J10" s="387"/>
      <c r="K10" s="398"/>
      <c r="L10" s="398"/>
      <c r="M10" s="407"/>
      <c r="N10" s="398"/>
      <c r="O10" s="398"/>
      <c r="P10" s="387">
        <f t="shared" si="0"/>
        <v>3100000</v>
      </c>
      <c r="Q10" s="399" t="e">
        <f>P10/C10</f>
        <v>#DIV/0!</v>
      </c>
      <c r="R10" s="379"/>
      <c r="S10" s="400"/>
    </row>
    <row r="11" spans="1:21" ht="24.75" customHeight="1">
      <c r="A11" s="408"/>
      <c r="B11" s="409" t="s">
        <v>48</v>
      </c>
      <c r="C11" s="410">
        <f>SUM(C4:C10)</f>
        <v>0</v>
      </c>
      <c r="D11" s="410">
        <f t="shared" ref="D11:O11" si="1">SUM(D4:D10)</f>
        <v>164471363</v>
      </c>
      <c r="E11" s="410">
        <f t="shared" si="1"/>
        <v>179143622</v>
      </c>
      <c r="F11" s="410">
        <f t="shared" si="1"/>
        <v>243657378</v>
      </c>
      <c r="G11" s="410">
        <f t="shared" si="1"/>
        <v>340511415</v>
      </c>
      <c r="H11" s="410">
        <f t="shared" si="1"/>
        <v>205057651</v>
      </c>
      <c r="I11" s="410">
        <f t="shared" si="1"/>
        <v>185786658</v>
      </c>
      <c r="J11" s="410">
        <f t="shared" si="1"/>
        <v>180533650</v>
      </c>
      <c r="K11" s="410">
        <f t="shared" si="1"/>
        <v>181231506</v>
      </c>
      <c r="L11" s="410">
        <f t="shared" si="1"/>
        <v>182640498</v>
      </c>
      <c r="M11" s="410">
        <f t="shared" si="1"/>
        <v>169005750</v>
      </c>
      <c r="N11" s="410">
        <f t="shared" si="1"/>
        <v>188010322</v>
      </c>
      <c r="O11" s="410">
        <f t="shared" si="1"/>
        <v>183622535</v>
      </c>
      <c r="P11" s="410">
        <f>SUM(P4:P10)</f>
        <v>2403672348</v>
      </c>
      <c r="Q11" s="411" t="e">
        <f>P11/C11</f>
        <v>#DIV/0!</v>
      </c>
      <c r="R11" s="379"/>
      <c r="S11" s="400"/>
    </row>
    <row r="12" spans="1:21" ht="24.75" customHeight="1">
      <c r="A12" s="408"/>
      <c r="B12" s="409"/>
      <c r="C12" s="409"/>
      <c r="D12" s="412"/>
      <c r="E12" s="412"/>
      <c r="F12" s="412"/>
      <c r="G12" s="413"/>
      <c r="H12" s="412"/>
      <c r="I12" s="412"/>
      <c r="J12" s="412"/>
      <c r="K12" s="412"/>
      <c r="L12" s="412"/>
      <c r="M12" s="412"/>
      <c r="N12" s="412"/>
      <c r="O12" s="414"/>
      <c r="P12" s="412"/>
      <c r="Q12" s="415"/>
      <c r="R12" s="379"/>
      <c r="S12" s="400"/>
    </row>
    <row r="13" spans="1:21" ht="24.75" customHeight="1">
      <c r="A13" s="382" t="s">
        <v>49</v>
      </c>
      <c r="B13" s="383" t="s">
        <v>50</v>
      </c>
      <c r="C13" s="384"/>
      <c r="D13" s="416"/>
      <c r="E13" s="412"/>
      <c r="F13" s="395"/>
      <c r="G13" s="467"/>
      <c r="H13" s="467"/>
      <c r="I13" s="467"/>
      <c r="J13" s="467"/>
      <c r="K13" s="467"/>
      <c r="L13" s="467"/>
      <c r="M13" s="467"/>
      <c r="N13" s="467"/>
      <c r="O13" s="467"/>
      <c r="P13" s="387"/>
      <c r="Q13" s="417"/>
      <c r="R13" s="379"/>
      <c r="S13" s="400"/>
    </row>
    <row r="14" spans="1:21" ht="24.75" customHeight="1">
      <c r="A14" s="391">
        <v>1</v>
      </c>
      <c r="B14" s="402" t="s">
        <v>43</v>
      </c>
      <c r="C14" s="402"/>
      <c r="D14" s="404">
        <f>1111</f>
        <v>1111</v>
      </c>
      <c r="E14" s="395"/>
      <c r="F14" s="464"/>
      <c r="G14" s="470">
        <f>157750000+57417556-1530000-20559000-146220000-10000000</f>
        <v>36858556</v>
      </c>
      <c r="H14" s="470">
        <f>5250000-4650000-100000+92091111</f>
        <v>92591111</v>
      </c>
      <c r="I14" s="471"/>
      <c r="J14" s="471"/>
      <c r="K14" s="472"/>
      <c r="L14" s="472"/>
      <c r="M14" s="472"/>
      <c r="N14" s="472"/>
      <c r="O14" s="472">
        <f>25000</f>
        <v>25000</v>
      </c>
      <c r="P14" s="466">
        <f>SUM(D14:O14)</f>
        <v>129475778</v>
      </c>
      <c r="Q14" s="399" t="e">
        <f t="shared" ref="Q14:Q20" si="2">P14/C14</f>
        <v>#DIV/0!</v>
      </c>
      <c r="R14" s="379"/>
      <c r="S14" s="400"/>
      <c r="T14" s="418"/>
      <c r="U14" s="419"/>
    </row>
    <row r="15" spans="1:21" ht="24.75" customHeight="1">
      <c r="A15" s="391">
        <v>2</v>
      </c>
      <c r="B15" s="402" t="s">
        <v>51</v>
      </c>
      <c r="C15" s="403"/>
      <c r="D15" s="404">
        <f>5210000</f>
        <v>5210000</v>
      </c>
      <c r="E15" s="395"/>
      <c r="F15" s="465"/>
      <c r="G15" s="471">
        <f>10000000+1530000+20559000+6980000</f>
        <v>39069000</v>
      </c>
      <c r="H15" s="471">
        <f>100000+2400000</f>
        <v>2500000</v>
      </c>
      <c r="I15" s="471"/>
      <c r="J15" s="471"/>
      <c r="K15" s="471"/>
      <c r="L15" s="472">
        <f>8915000</f>
        <v>8915000</v>
      </c>
      <c r="M15" s="473">
        <f>50000000+40000000+5400000</f>
        <v>95400000</v>
      </c>
      <c r="N15" s="472">
        <f>105599</f>
        <v>105599</v>
      </c>
      <c r="O15" s="472">
        <f>9900000</f>
        <v>9900000</v>
      </c>
      <c r="P15" s="466">
        <f t="shared" ref="P15:P18" si="3">SUM(D15:O15)</f>
        <v>161099599</v>
      </c>
      <c r="Q15" s="399" t="e">
        <f t="shared" si="2"/>
        <v>#DIV/0!</v>
      </c>
      <c r="R15" s="379"/>
      <c r="S15" s="400"/>
      <c r="T15" s="419"/>
      <c r="U15" s="423"/>
    </row>
    <row r="16" spans="1:21" ht="24.75" customHeight="1">
      <c r="A16" s="391">
        <v>3</v>
      </c>
      <c r="B16" s="402" t="s">
        <v>52</v>
      </c>
      <c r="C16" s="403"/>
      <c r="D16" s="404"/>
      <c r="E16" s="395"/>
      <c r="F16" s="464"/>
      <c r="G16" s="471"/>
      <c r="H16" s="471"/>
      <c r="I16" s="471"/>
      <c r="J16" s="471"/>
      <c r="K16" s="471"/>
      <c r="L16" s="471"/>
      <c r="M16" s="471"/>
      <c r="N16" s="471"/>
      <c r="O16" s="472"/>
      <c r="P16" s="466">
        <f t="shared" si="3"/>
        <v>0</v>
      </c>
      <c r="Q16" s="399" t="e">
        <f t="shared" si="2"/>
        <v>#DIV/0!</v>
      </c>
      <c r="R16" s="379"/>
      <c r="S16" s="400"/>
      <c r="T16" s="424"/>
      <c r="U16" s="425"/>
    </row>
    <row r="17" spans="1:21" ht="24.75" customHeight="1">
      <c r="A17" s="391">
        <v>4</v>
      </c>
      <c r="B17" s="402" t="s">
        <v>53</v>
      </c>
      <c r="C17" s="395"/>
      <c r="D17" s="404"/>
      <c r="E17" s="395"/>
      <c r="F17" s="464"/>
      <c r="G17" s="471">
        <f>37000000</f>
        <v>37000000</v>
      </c>
      <c r="H17" s="471"/>
      <c r="I17" s="471"/>
      <c r="J17" s="471"/>
      <c r="K17" s="474"/>
      <c r="L17" s="472"/>
      <c r="M17" s="473"/>
      <c r="N17" s="472"/>
      <c r="O17" s="472"/>
      <c r="P17" s="466">
        <f t="shared" si="3"/>
        <v>37000000</v>
      </c>
      <c r="Q17" s="399" t="e">
        <f t="shared" si="2"/>
        <v>#DIV/0!</v>
      </c>
      <c r="R17" s="379"/>
      <c r="S17" s="400"/>
      <c r="T17" s="424"/>
      <c r="U17" s="427"/>
    </row>
    <row r="18" spans="1:21" ht="24.75" customHeight="1">
      <c r="A18" s="391">
        <v>5</v>
      </c>
      <c r="B18" s="402" t="s">
        <v>54</v>
      </c>
      <c r="C18" s="403"/>
      <c r="D18" s="404"/>
      <c r="E18" s="412"/>
      <c r="F18" s="395"/>
      <c r="G18" s="468"/>
      <c r="H18" s="468"/>
      <c r="I18" s="468">
        <f>12010000</f>
        <v>12010000</v>
      </c>
      <c r="J18" s="468">
        <f>120000</f>
        <v>120000</v>
      </c>
      <c r="K18" s="468"/>
      <c r="L18" s="468"/>
      <c r="M18" s="468"/>
      <c r="N18" s="468"/>
      <c r="O18" s="469"/>
      <c r="P18" s="466">
        <f t="shared" si="3"/>
        <v>12130000</v>
      </c>
      <c r="Q18" s="399" t="e">
        <f t="shared" si="2"/>
        <v>#DIV/0!</v>
      </c>
      <c r="R18" s="379"/>
      <c r="S18" s="400"/>
      <c r="T18" s="424"/>
      <c r="U18" s="428"/>
    </row>
    <row r="19" spans="1:21" ht="24.75" customHeight="1">
      <c r="A19" s="408"/>
      <c r="B19" s="384" t="s">
        <v>55</v>
      </c>
      <c r="C19" s="410">
        <f t="shared" ref="C19:P19" si="4">SUM(C14:C18)</f>
        <v>0</v>
      </c>
      <c r="D19" s="410">
        <f t="shared" si="4"/>
        <v>5211111</v>
      </c>
      <c r="E19" s="410">
        <f t="shared" si="4"/>
        <v>0</v>
      </c>
      <c r="F19" s="410">
        <f t="shared" si="4"/>
        <v>0</v>
      </c>
      <c r="G19" s="410">
        <f t="shared" si="4"/>
        <v>112927556</v>
      </c>
      <c r="H19" s="410">
        <f t="shared" si="4"/>
        <v>95091111</v>
      </c>
      <c r="I19" s="410">
        <f t="shared" si="4"/>
        <v>12010000</v>
      </c>
      <c r="J19" s="410">
        <f t="shared" si="4"/>
        <v>120000</v>
      </c>
      <c r="K19" s="410">
        <f t="shared" si="4"/>
        <v>0</v>
      </c>
      <c r="L19" s="410">
        <f t="shared" si="4"/>
        <v>8915000</v>
      </c>
      <c r="M19" s="410">
        <f t="shared" si="4"/>
        <v>95400000</v>
      </c>
      <c r="N19" s="410">
        <f t="shared" si="4"/>
        <v>105599</v>
      </c>
      <c r="O19" s="410">
        <f t="shared" si="4"/>
        <v>9925000</v>
      </c>
      <c r="P19" s="410">
        <f t="shared" si="4"/>
        <v>339705377</v>
      </c>
      <c r="Q19" s="411" t="e">
        <f t="shared" si="2"/>
        <v>#DIV/0!</v>
      </c>
      <c r="R19" s="379"/>
      <c r="S19" s="400"/>
      <c r="T19" s="424"/>
      <c r="U19" s="428"/>
    </row>
    <row r="20" spans="1:21" ht="24.75" customHeight="1">
      <c r="A20" s="408"/>
      <c r="B20" s="384" t="s">
        <v>56</v>
      </c>
      <c r="C20" s="410">
        <f t="shared" ref="C20:P20" si="5">C19+C11</f>
        <v>0</v>
      </c>
      <c r="D20" s="410">
        <f>D19+D11</f>
        <v>169682474</v>
      </c>
      <c r="E20" s="410">
        <f t="shared" si="5"/>
        <v>179143622</v>
      </c>
      <c r="F20" s="410">
        <f t="shared" si="5"/>
        <v>243657378</v>
      </c>
      <c r="G20" s="410">
        <f t="shared" si="5"/>
        <v>453438971</v>
      </c>
      <c r="H20" s="410">
        <f t="shared" si="5"/>
        <v>300148762</v>
      </c>
      <c r="I20" s="410">
        <f t="shared" si="5"/>
        <v>197796658</v>
      </c>
      <c r="J20" s="410">
        <f t="shared" si="5"/>
        <v>180653650</v>
      </c>
      <c r="K20" s="410">
        <f t="shared" si="5"/>
        <v>181231506</v>
      </c>
      <c r="L20" s="410">
        <f>L19+L11</f>
        <v>191555498</v>
      </c>
      <c r="M20" s="410">
        <f t="shared" si="5"/>
        <v>264405750</v>
      </c>
      <c r="N20" s="410">
        <f t="shared" si="5"/>
        <v>188115921</v>
      </c>
      <c r="O20" s="410">
        <f t="shared" si="5"/>
        <v>193547535</v>
      </c>
      <c r="P20" s="410">
        <f t="shared" si="5"/>
        <v>2743377725</v>
      </c>
      <c r="Q20" s="411" t="e">
        <f t="shared" si="2"/>
        <v>#DIV/0!</v>
      </c>
      <c r="R20" s="379"/>
      <c r="S20" s="400"/>
      <c r="T20" s="424"/>
      <c r="U20" s="429"/>
    </row>
    <row r="21" spans="1:21" ht="15.75" customHeight="1">
      <c r="A21" s="430"/>
      <c r="B21" s="431"/>
      <c r="C21" s="432"/>
      <c r="D21" s="433"/>
      <c r="E21" s="433"/>
      <c r="F21" s="433"/>
      <c r="G21" s="432"/>
      <c r="H21" s="434"/>
      <c r="I21" s="434"/>
      <c r="J21" s="434"/>
      <c r="L21" s="431"/>
      <c r="M21" s="431"/>
      <c r="N21" s="432"/>
      <c r="O21" s="431"/>
      <c r="P21" s="435"/>
      <c r="Q21" s="431"/>
      <c r="R21" s="379"/>
      <c r="S21" s="400"/>
      <c r="T21" s="436"/>
      <c r="U21" s="429"/>
    </row>
    <row r="22" spans="1:21" ht="15.75" customHeight="1">
      <c r="A22" s="437"/>
      <c r="B22" s="437"/>
      <c r="C22" s="437"/>
      <c r="D22" s="438"/>
      <c r="E22" s="438"/>
      <c r="F22" s="438"/>
      <c r="G22" s="438"/>
      <c r="H22" s="438"/>
      <c r="I22" s="438"/>
      <c r="J22" s="438"/>
      <c r="K22" s="438"/>
      <c r="L22" s="438"/>
      <c r="M22" s="439"/>
      <c r="N22" s="440"/>
      <c r="O22" s="441"/>
      <c r="P22" s="424"/>
      <c r="Q22" s="437"/>
      <c r="R22" s="424"/>
      <c r="S22" s="400"/>
      <c r="T22" s="429"/>
      <c r="U22" s="429"/>
    </row>
    <row r="23" spans="1:21" ht="15.75" customHeight="1">
      <c r="A23" s="437"/>
      <c r="B23" s="437"/>
      <c r="C23" s="437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42"/>
      <c r="P23" s="424"/>
      <c r="Q23" s="424"/>
      <c r="S23" s="400"/>
      <c r="T23" s="429"/>
      <c r="U23" s="429"/>
    </row>
    <row r="24" spans="1:21" ht="15.75" customHeight="1">
      <c r="A24" s="437"/>
      <c r="B24" s="437"/>
      <c r="C24" s="437" t="s">
        <v>112</v>
      </c>
      <c r="E24" s="424"/>
      <c r="F24" s="424"/>
      <c r="G24" s="424"/>
      <c r="H24" s="434"/>
      <c r="I24" s="443"/>
      <c r="J24" s="443"/>
      <c r="K24" s="443"/>
      <c r="L24" s="444"/>
      <c r="M24" s="444"/>
      <c r="N24" s="445"/>
      <c r="O24" s="444"/>
      <c r="P24" s="434"/>
      <c r="Q24" s="437"/>
      <c r="S24" s="400"/>
      <c r="T24" s="429"/>
      <c r="U24" s="429"/>
    </row>
    <row r="25" spans="1:21" ht="15.75" customHeight="1">
      <c r="A25" s="437"/>
      <c r="B25" s="437" t="s">
        <v>64</v>
      </c>
      <c r="C25" s="380" t="s">
        <v>113</v>
      </c>
      <c r="D25" s="438"/>
      <c r="E25" s="438"/>
      <c r="F25" s="446"/>
      <c r="G25" s="424"/>
      <c r="H25" s="438"/>
      <c r="I25" s="438"/>
      <c r="J25" s="438"/>
      <c r="K25" s="435"/>
      <c r="M25" s="447"/>
      <c r="N25" s="444"/>
      <c r="O25" s="444"/>
      <c r="P25" s="448"/>
      <c r="Q25" s="437"/>
      <c r="T25" s="429"/>
      <c r="U25" s="429"/>
    </row>
    <row r="26" spans="1:21" ht="15.75" customHeight="1">
      <c r="A26" s="437"/>
      <c r="B26" s="437" t="s">
        <v>65</v>
      </c>
      <c r="C26" s="449"/>
      <c r="D26" s="450"/>
      <c r="E26" s="437"/>
      <c r="F26" s="441"/>
      <c r="G26" s="443"/>
      <c r="H26" s="437"/>
      <c r="I26" s="437"/>
      <c r="J26" s="437"/>
      <c r="K26" s="451"/>
      <c r="L26" s="452"/>
      <c r="M26" s="453"/>
      <c r="N26" s="443"/>
      <c r="O26" s="453"/>
      <c r="P26" s="437"/>
      <c r="Q26" s="437"/>
    </row>
    <row r="27" spans="1:21" ht="15.75" customHeight="1">
      <c r="A27" s="437"/>
      <c r="B27" s="437" t="s">
        <v>66</v>
      </c>
      <c r="C27" s="449"/>
      <c r="D27" s="454"/>
      <c r="E27" s="450"/>
      <c r="F27" s="441"/>
      <c r="G27" s="455"/>
      <c r="H27" s="456"/>
      <c r="I27" s="448"/>
      <c r="J27" s="448"/>
      <c r="K27" s="451"/>
      <c r="L27" s="435"/>
      <c r="M27" s="453"/>
      <c r="N27" s="457"/>
      <c r="O27" s="444"/>
      <c r="P27" s="438"/>
      <c r="Q27" s="456"/>
      <c r="R27" s="429"/>
      <c r="S27" s="429"/>
      <c r="T27" s="429"/>
    </row>
    <row r="28" spans="1:21" ht="15.75" customHeight="1">
      <c r="A28" s="437"/>
      <c r="B28" s="437" t="s">
        <v>67</v>
      </c>
      <c r="C28" s="449"/>
      <c r="D28" s="454"/>
      <c r="E28" s="450"/>
      <c r="F28" s="441"/>
      <c r="G28" s="455"/>
      <c r="H28" s="456"/>
      <c r="I28" s="456"/>
      <c r="J28" s="434"/>
      <c r="K28" s="451"/>
      <c r="L28" s="458"/>
      <c r="M28" s="453"/>
      <c r="N28" s="444"/>
      <c r="O28" s="444"/>
      <c r="P28" s="456"/>
      <c r="Q28" s="456"/>
      <c r="R28" s="429"/>
      <c r="S28" s="429"/>
      <c r="T28" s="429"/>
    </row>
    <row r="29" spans="1:21" ht="15.75" customHeight="1">
      <c r="A29" s="437"/>
      <c r="B29" s="437" t="s">
        <v>68</v>
      </c>
      <c r="C29" s="437"/>
      <c r="E29" s="450"/>
      <c r="F29" s="441"/>
      <c r="G29" s="455"/>
      <c r="H29" s="456"/>
      <c r="I29" s="438"/>
      <c r="J29" s="459"/>
      <c r="K29" s="451"/>
      <c r="L29" s="435"/>
      <c r="M29" s="453"/>
      <c r="N29" s="451"/>
      <c r="O29" s="453"/>
      <c r="P29" s="456"/>
      <c r="Q29" s="456"/>
      <c r="R29" s="429"/>
      <c r="S29" s="429"/>
      <c r="T29" s="429"/>
    </row>
    <row r="30" spans="1:21" ht="15.75" customHeight="1">
      <c r="A30" s="437"/>
      <c r="B30" s="437" t="s">
        <v>114</v>
      </c>
      <c r="C30" s="437"/>
      <c r="D30" s="454"/>
      <c r="E30" s="450"/>
      <c r="F30" s="441"/>
      <c r="G30" s="455"/>
      <c r="H30" s="437"/>
      <c r="I30" s="437"/>
      <c r="J30" s="459"/>
      <c r="K30" s="451"/>
      <c r="L30" s="441"/>
      <c r="M30" s="459"/>
      <c r="N30" s="459"/>
      <c r="O30" s="459"/>
      <c r="P30" s="437"/>
      <c r="Q30" s="437"/>
    </row>
    <row r="31" spans="1:21" ht="15.75" customHeight="1">
      <c r="A31" s="437"/>
      <c r="B31" s="437"/>
      <c r="C31" s="437"/>
      <c r="D31" s="454"/>
      <c r="E31" s="450"/>
      <c r="F31" s="441"/>
      <c r="G31" s="455"/>
      <c r="H31" s="437"/>
      <c r="I31" s="437"/>
      <c r="J31" s="459"/>
      <c r="K31" s="437"/>
      <c r="M31" s="437"/>
      <c r="O31" s="437"/>
      <c r="P31" s="437"/>
      <c r="Q31" s="437"/>
    </row>
    <row r="32" spans="1:21" ht="15.75" customHeight="1">
      <c r="A32" s="437"/>
      <c r="B32" s="460"/>
      <c r="C32" s="437"/>
      <c r="D32" s="454"/>
      <c r="E32" s="450"/>
      <c r="G32" s="437"/>
      <c r="H32" s="437"/>
      <c r="I32" s="437"/>
      <c r="J32" s="459"/>
      <c r="K32" s="437"/>
      <c r="L32" s="441"/>
      <c r="M32" s="442"/>
      <c r="N32" s="437"/>
      <c r="O32" s="437"/>
      <c r="P32" s="437"/>
      <c r="Q32" s="437"/>
    </row>
    <row r="33" spans="4:12" ht="15.75" customHeight="1">
      <c r="D33" s="454"/>
      <c r="I33" s="461"/>
      <c r="J33" s="459"/>
      <c r="L33" s="435"/>
    </row>
    <row r="34" spans="4:12" ht="15.75" customHeight="1">
      <c r="L34" s="435"/>
    </row>
    <row r="35" spans="4:12" ht="15.75" customHeight="1">
      <c r="L35" s="435"/>
    </row>
    <row r="36" spans="4:12" ht="15.75" customHeight="1"/>
    <row r="37" spans="4:12" ht="15.75" customHeight="1"/>
    <row r="38" spans="4:12" ht="15.75" customHeight="1"/>
    <row r="39" spans="4:12" ht="15.75" customHeight="1"/>
    <row r="40" spans="4:12" ht="15.75" customHeight="1"/>
    <row r="41" spans="4:12" ht="15.75" customHeight="1"/>
    <row r="42" spans="4:12" ht="15.75" customHeight="1">
      <c r="F42" s="418"/>
      <c r="G42" s="419"/>
    </row>
    <row r="43" spans="4:12" ht="15.75" customHeight="1">
      <c r="F43" s="418"/>
      <c r="G43" s="419"/>
    </row>
    <row r="44" spans="4:12" ht="15.75" customHeight="1">
      <c r="F44" s="418"/>
      <c r="G44" s="419"/>
    </row>
    <row r="45" spans="4:12" ht="15.75" customHeight="1">
      <c r="F45" s="418"/>
      <c r="G45" s="419"/>
    </row>
    <row r="46" spans="4:12" ht="15.75" customHeight="1">
      <c r="F46" s="418"/>
      <c r="G46" s="419"/>
    </row>
    <row r="47" spans="4:12" ht="15.75" customHeight="1">
      <c r="F47" s="418"/>
      <c r="G47" s="419"/>
    </row>
    <row r="48" spans="4:12" ht="15.75" customHeight="1">
      <c r="F48" s="462"/>
      <c r="G48" s="463"/>
    </row>
    <row r="49" spans="6:7" ht="15.75" customHeight="1">
      <c r="F49" s="462"/>
      <c r="G49" s="463"/>
    </row>
    <row r="50" spans="6:7" ht="15.75" customHeight="1">
      <c r="F50" s="462"/>
      <c r="G50" s="419"/>
    </row>
    <row r="51" spans="6:7" ht="15.75" customHeight="1">
      <c r="F51" s="418"/>
      <c r="G51" s="423"/>
    </row>
    <row r="52" spans="6:7" ht="15.75" customHeight="1">
      <c r="F52" s="418"/>
      <c r="G52" s="419"/>
    </row>
    <row r="53" spans="6:7" ht="15.75" customHeight="1">
      <c r="F53" s="418"/>
      <c r="G53" s="419"/>
    </row>
    <row r="54" spans="6:7" ht="15.75" customHeight="1">
      <c r="F54" s="418"/>
      <c r="G54" s="419"/>
    </row>
    <row r="55" spans="6:7" ht="15.75" customHeight="1"/>
    <row r="56" spans="6:7" ht="15.75" customHeight="1"/>
    <row r="57" spans="6:7" ht="15.75" customHeight="1"/>
    <row r="58" spans="6:7" ht="15.75" customHeight="1"/>
    <row r="59" spans="6:7" ht="15.75" customHeight="1"/>
    <row r="60" spans="6:7" ht="15.75" customHeight="1"/>
    <row r="61" spans="6:7" ht="15.75" customHeight="1"/>
    <row r="62" spans="6:7" ht="15.75" customHeight="1"/>
    <row r="63" spans="6:7" ht="15.75" customHeight="1"/>
    <row r="64" spans="6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M1:M2"/>
    <mergeCell ref="N1:N2"/>
    <mergeCell ref="O1:O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25650916104146582" right="0.47251687560270011" top="1" bottom="1" header="0" footer="0"/>
  <pageSetup paperSize="5" scale="3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9"/>
  <sheetViews>
    <sheetView topLeftCell="A4" workbookViewId="0"/>
  </sheetViews>
  <sheetFormatPr defaultColWidth="14.453125" defaultRowHeight="15" customHeight="1"/>
  <cols>
    <col min="1" max="1" width="6.08984375" customWidth="1"/>
    <col min="2" max="2" width="14.81640625" customWidth="1"/>
    <col min="3" max="5" width="18.08984375" customWidth="1"/>
    <col min="6" max="6" width="19.08984375" customWidth="1"/>
    <col min="7" max="7" width="19.26953125" customWidth="1"/>
    <col min="8" max="8" width="19.08984375" customWidth="1"/>
    <col min="9" max="9" width="19.26953125" customWidth="1"/>
    <col min="10" max="10" width="19.08984375" customWidth="1"/>
    <col min="11" max="11" width="19.26953125" customWidth="1"/>
    <col min="12" max="12" width="19.08984375" customWidth="1"/>
    <col min="13" max="13" width="18.08984375" customWidth="1"/>
    <col min="14" max="14" width="25.7265625" customWidth="1"/>
    <col min="15" max="15" width="18.7265625" customWidth="1"/>
    <col min="16" max="16" width="16" customWidth="1"/>
    <col min="17" max="17" width="19.26953125" customWidth="1"/>
    <col min="18" max="18" width="18.26953125" customWidth="1"/>
    <col min="19" max="19" width="18.54296875" customWidth="1"/>
    <col min="20" max="20" width="19" customWidth="1"/>
    <col min="21" max="31" width="8.7265625" customWidth="1"/>
  </cols>
  <sheetData>
    <row r="1" spans="1:16" ht="15.75" customHeight="1">
      <c r="A1" s="1" t="s">
        <v>0</v>
      </c>
      <c r="M1" s="2"/>
    </row>
    <row r="2" spans="1:16" ht="15.75" customHeight="1"/>
    <row r="3" spans="1:16" ht="22.5" customHeight="1">
      <c r="A3" s="488" t="s">
        <v>1</v>
      </c>
      <c r="B3" s="490" t="s">
        <v>2</v>
      </c>
      <c r="C3" s="491">
        <v>2019</v>
      </c>
      <c r="D3" s="492"/>
      <c r="E3" s="493">
        <v>2020</v>
      </c>
      <c r="F3" s="492"/>
      <c r="G3" s="493">
        <v>2021</v>
      </c>
      <c r="H3" s="492"/>
      <c r="I3" s="485">
        <v>2022</v>
      </c>
      <c r="J3" s="486"/>
      <c r="K3" s="485">
        <v>2023</v>
      </c>
      <c r="L3" s="486"/>
      <c r="M3" s="487" t="s">
        <v>3</v>
      </c>
      <c r="N3" s="486"/>
    </row>
    <row r="4" spans="1:16" ht="35.25" customHeight="1">
      <c r="A4" s="489"/>
      <c r="B4" s="489"/>
      <c r="C4" s="3" t="s">
        <v>4</v>
      </c>
      <c r="D4" s="3" t="s">
        <v>5</v>
      </c>
      <c r="E4" s="3" t="s">
        <v>4</v>
      </c>
      <c r="F4" s="3" t="s">
        <v>5</v>
      </c>
      <c r="G4" s="3" t="s">
        <v>4</v>
      </c>
      <c r="H4" s="3" t="s">
        <v>5</v>
      </c>
      <c r="I4" s="3" t="s">
        <v>4</v>
      </c>
      <c r="J4" s="3" t="s">
        <v>5</v>
      </c>
      <c r="K4" s="3" t="s">
        <v>4</v>
      </c>
      <c r="L4" s="3" t="s">
        <v>5</v>
      </c>
      <c r="M4" s="4" t="s">
        <v>6</v>
      </c>
      <c r="N4" s="4" t="s">
        <v>7</v>
      </c>
    </row>
    <row r="5" spans="1:16" ht="22.5" customHeight="1">
      <c r="A5" s="5">
        <v>1</v>
      </c>
      <c r="B5" s="6" t="s">
        <v>8</v>
      </c>
      <c r="C5" s="7">
        <v>0</v>
      </c>
      <c r="D5" s="7">
        <v>0</v>
      </c>
      <c r="E5" s="8">
        <v>7705463123</v>
      </c>
      <c r="F5" s="8">
        <v>8462011915</v>
      </c>
      <c r="G5" s="8">
        <v>8897776251</v>
      </c>
      <c r="H5" s="8">
        <v>1038573197</v>
      </c>
      <c r="I5" s="8">
        <v>9229598217</v>
      </c>
      <c r="J5" s="9">
        <v>835957542</v>
      </c>
      <c r="K5" s="8">
        <v>11510441868</v>
      </c>
      <c r="L5" s="9">
        <v>1767586614</v>
      </c>
      <c r="M5" s="10">
        <f t="shared" ref="M5:N5" si="0">(K5-I5)/K5</f>
        <v>0.19815430868392098</v>
      </c>
      <c r="N5" s="10">
        <f t="shared" si="0"/>
        <v>0.52706275586221429</v>
      </c>
    </row>
    <row r="6" spans="1:16" ht="22.5" customHeight="1">
      <c r="A6" s="5">
        <v>2</v>
      </c>
      <c r="B6" s="6" t="s">
        <v>9</v>
      </c>
      <c r="C6" s="7">
        <v>0</v>
      </c>
      <c r="D6" s="7">
        <v>0</v>
      </c>
      <c r="E6" s="8">
        <v>8486684962</v>
      </c>
      <c r="F6" s="8">
        <v>878514456</v>
      </c>
      <c r="G6" s="11">
        <v>7825781698</v>
      </c>
      <c r="H6" s="8">
        <v>6054269481</v>
      </c>
      <c r="I6" s="8">
        <v>10300526016</v>
      </c>
      <c r="J6" s="9">
        <v>702531613</v>
      </c>
      <c r="K6" s="8">
        <v>11973874314</v>
      </c>
      <c r="L6" s="9">
        <v>1352555636</v>
      </c>
      <c r="M6" s="10">
        <f t="shared" ref="M6:N6" si="1">(K6-I6)/K6</f>
        <v>0.13974994676898359</v>
      </c>
      <c r="N6" s="10">
        <f t="shared" si="1"/>
        <v>0.48058948977681831</v>
      </c>
    </row>
    <row r="7" spans="1:16" ht="22.5" customHeight="1">
      <c r="A7" s="5">
        <v>3</v>
      </c>
      <c r="B7" s="6" t="s">
        <v>10</v>
      </c>
      <c r="C7" s="7">
        <v>0</v>
      </c>
      <c r="D7" s="7">
        <v>0</v>
      </c>
      <c r="E7" s="8">
        <v>8331953410</v>
      </c>
      <c r="F7" s="8">
        <v>211960521</v>
      </c>
      <c r="G7" s="8">
        <v>8626384250</v>
      </c>
      <c r="H7" s="8">
        <v>5261616561</v>
      </c>
      <c r="I7" s="8">
        <v>10094738297</v>
      </c>
      <c r="J7" s="9">
        <v>1308667903</v>
      </c>
      <c r="K7" s="8">
        <v>11917189900</v>
      </c>
      <c r="L7" s="9">
        <v>4950322948</v>
      </c>
      <c r="M7" s="10">
        <f t="shared" ref="M7:N7" si="2">(K7-I7)/K7</f>
        <v>0.15292628700999386</v>
      </c>
      <c r="N7" s="10">
        <f t="shared" si="2"/>
        <v>0.73563989324601131</v>
      </c>
    </row>
    <row r="8" spans="1:16" ht="22.5" customHeight="1">
      <c r="A8" s="5">
        <v>4</v>
      </c>
      <c r="B8" s="6" t="s">
        <v>11</v>
      </c>
      <c r="C8" s="7">
        <v>0</v>
      </c>
      <c r="D8" s="7">
        <v>0</v>
      </c>
      <c r="E8" s="8">
        <v>8797011271</v>
      </c>
      <c r="F8" s="8">
        <v>7134845875</v>
      </c>
      <c r="G8" s="11">
        <v>8048933546</v>
      </c>
      <c r="H8" s="8">
        <v>11554768333</v>
      </c>
      <c r="I8" s="8">
        <v>10232203805</v>
      </c>
      <c r="J8" s="9">
        <v>30387752660</v>
      </c>
      <c r="K8" s="8">
        <v>11891109682</v>
      </c>
      <c r="L8" s="9">
        <v>41630037718</v>
      </c>
      <c r="M8" s="10">
        <f t="shared" ref="M8:N8" si="3">(K8-I8)/K8</f>
        <v>0.13950807967999365</v>
      </c>
      <c r="N8" s="10">
        <f t="shared" si="3"/>
        <v>0.27005224290582519</v>
      </c>
    </row>
    <row r="9" spans="1:16" ht="22.5" customHeight="1">
      <c r="A9" s="5">
        <v>5</v>
      </c>
      <c r="B9" s="6" t="s">
        <v>12</v>
      </c>
      <c r="C9" s="7">
        <v>0</v>
      </c>
      <c r="D9" s="7">
        <v>3915940360</v>
      </c>
      <c r="E9" s="12">
        <v>4698669820</v>
      </c>
      <c r="F9" s="8">
        <v>8864701368</v>
      </c>
      <c r="G9" s="8">
        <v>8458067545</v>
      </c>
      <c r="H9" s="8">
        <v>21041080185</v>
      </c>
      <c r="I9" s="8">
        <v>10225246976</v>
      </c>
      <c r="J9" s="9">
        <v>10020022229</v>
      </c>
      <c r="K9" s="13">
        <v>11820373650</v>
      </c>
      <c r="L9" s="9">
        <v>7855284917</v>
      </c>
      <c r="M9" s="10">
        <f t="shared" ref="M9:N9" si="4">(K9-I9)/K9</f>
        <v>0.13494722935429371</v>
      </c>
      <c r="N9" s="10">
        <f t="shared" si="4"/>
        <v>-0.27557718591660346</v>
      </c>
    </row>
    <row r="10" spans="1:16" ht="22.5" customHeight="1">
      <c r="A10" s="5">
        <v>6</v>
      </c>
      <c r="B10" s="6" t="s">
        <v>13</v>
      </c>
      <c r="C10" s="7">
        <v>0</v>
      </c>
      <c r="D10" s="7">
        <v>950664540</v>
      </c>
      <c r="E10" s="12">
        <v>4530885334</v>
      </c>
      <c r="F10" s="8">
        <v>4313288798</v>
      </c>
      <c r="G10" s="8">
        <v>8967397449</v>
      </c>
      <c r="H10" s="8">
        <v>4892077851</v>
      </c>
      <c r="I10" s="8">
        <v>10254896993</v>
      </c>
      <c r="J10" s="9">
        <v>6940366086</v>
      </c>
      <c r="K10" s="9">
        <v>11882390898</v>
      </c>
      <c r="L10" s="9">
        <v>4779024319</v>
      </c>
      <c r="M10" s="10">
        <f t="shared" ref="M10:N10" si="5">(K10-I10)/K10</f>
        <v>0.13696687131155849</v>
      </c>
      <c r="N10" s="10">
        <f t="shared" si="5"/>
        <v>-0.45225586285617725</v>
      </c>
    </row>
    <row r="11" spans="1:16" ht="22.5" customHeight="1">
      <c r="A11" s="5">
        <v>7</v>
      </c>
      <c r="B11" s="6" t="s">
        <v>14</v>
      </c>
      <c r="C11" s="7">
        <v>0</v>
      </c>
      <c r="D11" s="7">
        <v>3299584079</v>
      </c>
      <c r="E11" s="12">
        <v>4509368048</v>
      </c>
      <c r="F11" s="8">
        <v>8333170041</v>
      </c>
      <c r="G11" s="8">
        <v>9040895107</v>
      </c>
      <c r="H11" s="8">
        <v>9188883906</v>
      </c>
      <c r="I11" s="14">
        <v>10280723864</v>
      </c>
      <c r="J11" s="9">
        <v>10863364602</v>
      </c>
      <c r="K11" s="9">
        <v>11683742854</v>
      </c>
      <c r="L11" s="9">
        <f>5828821168+25000</f>
        <v>5828846168</v>
      </c>
      <c r="M11" s="10">
        <f t="shared" ref="M11:N11" si="6">(K11-I11)/K11</f>
        <v>0.12008300829041851</v>
      </c>
      <c r="N11" s="10">
        <f t="shared" si="6"/>
        <v>-0.86372470449455174</v>
      </c>
    </row>
    <row r="12" spans="1:16" ht="22.5" customHeight="1">
      <c r="A12" s="5">
        <v>8</v>
      </c>
      <c r="B12" s="6" t="s">
        <v>15</v>
      </c>
      <c r="C12" s="7">
        <v>0</v>
      </c>
      <c r="D12" s="12">
        <v>1917888483</v>
      </c>
      <c r="E12" s="12">
        <v>4502637081</v>
      </c>
      <c r="F12" s="8">
        <v>2335556746</v>
      </c>
      <c r="G12" s="8">
        <v>9246452219</v>
      </c>
      <c r="H12" s="8">
        <v>2796939928</v>
      </c>
      <c r="I12" s="14">
        <v>10363532765</v>
      </c>
      <c r="J12" s="9">
        <v>2355209036</v>
      </c>
      <c r="K12" s="15">
        <v>11740114450</v>
      </c>
      <c r="L12" s="16">
        <v>6277313137</v>
      </c>
      <c r="M12" s="10">
        <f t="shared" ref="M12:N12" si="7">(K12-I12)/K12</f>
        <v>0.11725453707139967</v>
      </c>
      <c r="N12" s="10">
        <f t="shared" si="7"/>
        <v>0.62480618943193567</v>
      </c>
    </row>
    <row r="13" spans="1:16" ht="22.5" customHeight="1">
      <c r="A13" s="5">
        <v>9</v>
      </c>
      <c r="B13" s="6" t="s">
        <v>16</v>
      </c>
      <c r="C13" s="12">
        <v>639458621</v>
      </c>
      <c r="D13" s="12">
        <v>3821372840</v>
      </c>
      <c r="E13" s="12">
        <v>4590825628</v>
      </c>
      <c r="F13" s="8">
        <v>1759720014</v>
      </c>
      <c r="G13" s="11">
        <v>8715993498</v>
      </c>
      <c r="H13" s="8">
        <v>3783775929</v>
      </c>
      <c r="I13" s="14">
        <v>10568087469</v>
      </c>
      <c r="J13" s="9">
        <v>2715509615</v>
      </c>
      <c r="K13" s="12">
        <v>11733530999</v>
      </c>
      <c r="L13" s="16">
        <v>6089613508</v>
      </c>
      <c r="M13" s="10">
        <f t="shared" ref="M13:N13" si="8">(K13-I13)/K13</f>
        <v>9.9325900285201954E-2</v>
      </c>
      <c r="N13" s="10">
        <f t="shared" si="8"/>
        <v>0.55407521159879825</v>
      </c>
    </row>
    <row r="14" spans="1:16" ht="22.5" customHeight="1">
      <c r="A14" s="5">
        <v>10</v>
      </c>
      <c r="B14" s="6" t="s">
        <v>17</v>
      </c>
      <c r="C14" s="12">
        <v>3328425910</v>
      </c>
      <c r="D14" s="12">
        <v>6178547498</v>
      </c>
      <c r="E14" s="12">
        <v>4530112521</v>
      </c>
      <c r="F14" s="8">
        <v>3675480386</v>
      </c>
      <c r="G14" s="8">
        <v>9814407235</v>
      </c>
      <c r="H14" s="8">
        <v>4635886288</v>
      </c>
      <c r="I14" s="14">
        <v>10788450406</v>
      </c>
      <c r="J14" s="9">
        <v>4562937896</v>
      </c>
      <c r="K14" s="12">
        <v>11039576921</v>
      </c>
      <c r="L14" s="16">
        <v>7824850335</v>
      </c>
      <c r="M14" s="10">
        <f t="shared" ref="M14:N14" si="9">(K14-I14)/K14</f>
        <v>2.274783868956929E-2</v>
      </c>
      <c r="N14" s="10">
        <f t="shared" si="9"/>
        <v>0.41686579287142367</v>
      </c>
    </row>
    <row r="15" spans="1:16" ht="22.5" customHeight="1">
      <c r="A15" s="5">
        <v>11</v>
      </c>
      <c r="B15" s="6" t="s">
        <v>18</v>
      </c>
      <c r="C15" s="8">
        <v>5838459649</v>
      </c>
      <c r="D15" s="12">
        <v>1100331975</v>
      </c>
      <c r="E15" s="12">
        <v>4520275650</v>
      </c>
      <c r="F15" s="8">
        <v>1975261055</v>
      </c>
      <c r="G15" s="8">
        <v>10302934783</v>
      </c>
      <c r="H15" s="8">
        <v>2020175312</v>
      </c>
      <c r="I15" s="14">
        <v>11093795042</v>
      </c>
      <c r="J15" s="9">
        <v>5679899935</v>
      </c>
      <c r="K15" s="17">
        <v>12134930900</v>
      </c>
      <c r="L15" s="16">
        <v>5440688510</v>
      </c>
      <c r="M15" s="10">
        <f t="shared" ref="M15:N15" si="10">(K15-I15)/K15</f>
        <v>8.5796603753219555E-2</v>
      </c>
      <c r="N15" s="10">
        <f t="shared" si="10"/>
        <v>-4.3967123749196223E-2</v>
      </c>
      <c r="P15" s="18"/>
    </row>
    <row r="16" spans="1:16" ht="22.5" customHeight="1">
      <c r="A16" s="5">
        <v>12</v>
      </c>
      <c r="B16" s="6" t="s">
        <v>19</v>
      </c>
      <c r="C16" s="8">
        <v>7286655863</v>
      </c>
      <c r="D16" s="12">
        <v>2092724659</v>
      </c>
      <c r="E16" s="12">
        <v>4423100223</v>
      </c>
      <c r="F16" s="8">
        <v>1477045985</v>
      </c>
      <c r="G16" s="11">
        <v>8496615756</v>
      </c>
      <c r="H16" s="8">
        <v>8971033064</v>
      </c>
      <c r="I16" s="19">
        <v>11701200024</v>
      </c>
      <c r="J16" s="9">
        <v>14535390949</v>
      </c>
      <c r="K16" s="20">
        <v>11997275694</v>
      </c>
      <c r="L16" s="16">
        <v>16589963228</v>
      </c>
      <c r="M16" s="10">
        <f t="shared" ref="M16:N16" si="11">(K16-I16)/K16</f>
        <v>2.4678575165866318E-2</v>
      </c>
      <c r="N16" s="10">
        <f t="shared" si="11"/>
        <v>0.12384429373130615</v>
      </c>
    </row>
    <row r="17" spans="1:18" ht="22.5" customHeight="1">
      <c r="A17" s="21"/>
      <c r="B17" s="22" t="s">
        <v>20</v>
      </c>
      <c r="C17" s="23">
        <f t="shared" ref="C17:L17" si="12">SUM(C5:C16)</f>
        <v>17093000043</v>
      </c>
      <c r="D17" s="23">
        <f t="shared" si="12"/>
        <v>23277054434</v>
      </c>
      <c r="E17" s="23">
        <f t="shared" si="12"/>
        <v>69626987071</v>
      </c>
      <c r="F17" s="23">
        <f t="shared" si="12"/>
        <v>49421557160</v>
      </c>
      <c r="G17" s="23">
        <f t="shared" si="12"/>
        <v>106441639337</v>
      </c>
      <c r="H17" s="23">
        <f t="shared" si="12"/>
        <v>81239080035</v>
      </c>
      <c r="I17" s="23">
        <f t="shared" si="12"/>
        <v>125132999874</v>
      </c>
      <c r="J17" s="24">
        <f t="shared" si="12"/>
        <v>90907610066</v>
      </c>
      <c r="K17" s="23">
        <f t="shared" si="12"/>
        <v>141324552130</v>
      </c>
      <c r="L17" s="24">
        <f t="shared" si="12"/>
        <v>110386087038</v>
      </c>
      <c r="M17" s="10">
        <f t="shared" ref="M17:N17" si="13">(K17-I17)/K17</f>
        <v>0.11456998810161381</v>
      </c>
      <c r="N17" s="10">
        <f t="shared" si="13"/>
        <v>0.1764577175862263</v>
      </c>
      <c r="O17" s="18"/>
    </row>
    <row r="18" spans="1:18" ht="22.5" customHeight="1">
      <c r="A18" s="25"/>
      <c r="B18" s="26" t="s">
        <v>21</v>
      </c>
      <c r="C18" s="27">
        <f>SUM(C17/D18)</f>
        <v>0.42340790133781914</v>
      </c>
      <c r="D18" s="28">
        <f>SUM(D17,C17)</f>
        <v>40370054477</v>
      </c>
      <c r="E18" s="27">
        <f>SUM(E17/F18)</f>
        <v>0.58486214611660303</v>
      </c>
      <c r="F18" s="28">
        <f>SUM(F17,E17)</f>
        <v>119048544231</v>
      </c>
      <c r="G18" s="29">
        <f>SUM(G17/H18)</f>
        <v>0.56714211077816223</v>
      </c>
      <c r="H18" s="28">
        <f>SUM(H17,G17)</f>
        <v>187680719372</v>
      </c>
      <c r="I18" s="27">
        <f>SUM(I17/J18)</f>
        <v>0.57921054707609199</v>
      </c>
      <c r="J18" s="28">
        <f>SUM(J17,I17)</f>
        <v>216040609940</v>
      </c>
      <c r="K18" s="27">
        <f>SUM(K17/L18)</f>
        <v>0.56145641120745526</v>
      </c>
      <c r="L18" s="28">
        <f>K17+L17</f>
        <v>251710639168</v>
      </c>
      <c r="M18" s="10">
        <f>(K17-I17)/K17</f>
        <v>0.11456998810161381</v>
      </c>
      <c r="N18" s="10">
        <f>(L18-J18)/L18</f>
        <v>0.14171045509201796</v>
      </c>
    </row>
    <row r="19" spans="1:18" ht="15.75" customHeight="1">
      <c r="G19" s="30"/>
      <c r="L19" s="18"/>
      <c r="M19" s="31"/>
      <c r="N19" s="31"/>
    </row>
    <row r="20" spans="1:18" ht="15.75" customHeight="1">
      <c r="C20" s="32"/>
      <c r="H20" s="33">
        <f>(H18-F18)/H18</f>
        <v>0.36568580603618039</v>
      </c>
      <c r="J20" s="33">
        <f>(J18-H18)/J18</f>
        <v>0.13127110951906804</v>
      </c>
      <c r="L20" s="33">
        <f>(L18-J18)/L18</f>
        <v>0.14171045509201796</v>
      </c>
    </row>
    <row r="21" spans="1:18" ht="15.75" customHeight="1">
      <c r="F21" s="32"/>
      <c r="L21" s="18"/>
      <c r="M21" s="32"/>
      <c r="N21" s="18"/>
      <c r="O21" s="18"/>
      <c r="P21" s="18"/>
      <c r="Q21" s="18"/>
    </row>
    <row r="22" spans="1:18" ht="15.75" customHeight="1">
      <c r="C22" s="32"/>
      <c r="L22" s="18"/>
    </row>
    <row r="23" spans="1:18" ht="15.75" customHeight="1">
      <c r="M23" s="32"/>
      <c r="N23" s="18"/>
      <c r="O23" s="32"/>
      <c r="P23" s="18"/>
      <c r="Q23" s="32"/>
    </row>
    <row r="24" spans="1:18" ht="15.75" customHeight="1">
      <c r="I24" s="32"/>
      <c r="L24" s="34"/>
    </row>
    <row r="25" spans="1:18" ht="15.75" customHeight="1">
      <c r="L25" s="18"/>
      <c r="N25" s="18"/>
      <c r="P25" s="18"/>
      <c r="R25" s="18"/>
    </row>
    <row r="26" spans="1:18" ht="15.75" customHeight="1"/>
    <row r="27" spans="1:18" ht="15.75" customHeight="1">
      <c r="C27" s="35"/>
      <c r="D27" s="35"/>
    </row>
    <row r="28" spans="1:18" ht="15.75" customHeight="1">
      <c r="C28" s="35"/>
      <c r="D28" s="35"/>
    </row>
    <row r="29" spans="1:18" ht="15.75" customHeight="1">
      <c r="C29" s="35"/>
      <c r="D29" s="35"/>
    </row>
    <row r="30" spans="1:18" ht="15.75" customHeight="1">
      <c r="C30" s="35"/>
      <c r="D30" s="35"/>
    </row>
    <row r="31" spans="1:18" ht="15.75" customHeight="1">
      <c r="C31" s="36"/>
      <c r="D31" s="36"/>
    </row>
    <row r="32" spans="1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8">
    <mergeCell ref="I3:J3"/>
    <mergeCell ref="K3:L3"/>
    <mergeCell ref="M3:N3"/>
    <mergeCell ref="A3:A4"/>
    <mergeCell ref="B3:B4"/>
    <mergeCell ref="C3:D3"/>
    <mergeCell ref="E3:F3"/>
    <mergeCell ref="G3:H3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4.453125" defaultRowHeight="15" customHeight="1"/>
  <cols>
    <col min="1" max="1" width="6.08984375" customWidth="1"/>
    <col min="2" max="2" width="16.54296875" customWidth="1"/>
    <col min="3" max="3" width="19.453125" customWidth="1"/>
    <col min="4" max="4" width="17.81640625" customWidth="1"/>
    <col min="5" max="5" width="20.54296875" customWidth="1"/>
    <col min="6" max="6" width="20.81640625" customWidth="1"/>
    <col min="7" max="7" width="20.54296875" customWidth="1"/>
    <col min="8" max="8" width="8.7265625" customWidth="1"/>
    <col min="9" max="9" width="19.7265625" customWidth="1"/>
    <col min="10" max="26" width="8.7265625" customWidth="1"/>
  </cols>
  <sheetData>
    <row r="1" spans="1:9" ht="14.5">
      <c r="A1" s="37" t="s">
        <v>22</v>
      </c>
      <c r="B1" s="38"/>
      <c r="C1" s="38"/>
      <c r="D1" s="38"/>
      <c r="E1" s="38"/>
      <c r="F1" s="38"/>
      <c r="G1" s="38"/>
    </row>
    <row r="2" spans="1:9" ht="14.5">
      <c r="A2" s="38" t="s">
        <v>23</v>
      </c>
      <c r="B2" s="38"/>
      <c r="C2" s="38"/>
      <c r="D2" s="38"/>
      <c r="E2" s="38"/>
      <c r="F2" s="38"/>
      <c r="G2" s="38"/>
    </row>
    <row r="3" spans="1:9" ht="24.75" customHeight="1">
      <c r="A3" s="39" t="s">
        <v>1</v>
      </c>
      <c r="B3" s="40" t="s">
        <v>2</v>
      </c>
      <c r="C3" s="40">
        <v>2019</v>
      </c>
      <c r="D3" s="40">
        <v>2020</v>
      </c>
      <c r="E3" s="40">
        <v>2021</v>
      </c>
      <c r="F3" s="41">
        <v>2022</v>
      </c>
      <c r="G3" s="40">
        <v>2023</v>
      </c>
    </row>
    <row r="4" spans="1:9" ht="24.75" customHeight="1">
      <c r="A4" s="42">
        <v>1</v>
      </c>
      <c r="B4" s="43" t="s">
        <v>8</v>
      </c>
      <c r="C4" s="7">
        <v>0</v>
      </c>
      <c r="D4" s="8">
        <v>7705463123</v>
      </c>
      <c r="E4" s="8">
        <v>8897776251</v>
      </c>
      <c r="F4" s="44">
        <v>9229598217</v>
      </c>
      <c r="G4" s="9">
        <v>11510441868</v>
      </c>
    </row>
    <row r="5" spans="1:9" ht="24.75" customHeight="1">
      <c r="A5" s="42">
        <v>2</v>
      </c>
      <c r="B5" s="43" t="s">
        <v>9</v>
      </c>
      <c r="C5" s="7">
        <v>0</v>
      </c>
      <c r="D5" s="8">
        <v>8486684962</v>
      </c>
      <c r="E5" s="11">
        <v>7825781698</v>
      </c>
      <c r="F5" s="44">
        <v>10300526016</v>
      </c>
      <c r="G5" s="9">
        <v>11973874314</v>
      </c>
    </row>
    <row r="6" spans="1:9" ht="24.75" customHeight="1">
      <c r="A6" s="42">
        <v>3</v>
      </c>
      <c r="B6" s="43" t="s">
        <v>10</v>
      </c>
      <c r="C6" s="7">
        <v>0</v>
      </c>
      <c r="D6" s="8">
        <v>8331953410</v>
      </c>
      <c r="E6" s="8">
        <v>8626384250</v>
      </c>
      <c r="F6" s="44">
        <v>10094738297</v>
      </c>
      <c r="G6" s="8">
        <v>11917189900</v>
      </c>
    </row>
    <row r="7" spans="1:9" ht="24.75" customHeight="1">
      <c r="A7" s="42">
        <v>4</v>
      </c>
      <c r="B7" s="43" t="s">
        <v>11</v>
      </c>
      <c r="C7" s="7">
        <v>0</v>
      </c>
      <c r="D7" s="8">
        <v>8797011271</v>
      </c>
      <c r="E7" s="11">
        <v>8048933546</v>
      </c>
      <c r="F7" s="44">
        <v>10232203805</v>
      </c>
      <c r="G7" s="8">
        <v>11891109682</v>
      </c>
    </row>
    <row r="8" spans="1:9" ht="24.75" customHeight="1">
      <c r="A8" s="42">
        <v>5</v>
      </c>
      <c r="B8" s="43" t="s">
        <v>12</v>
      </c>
      <c r="C8" s="7">
        <v>0</v>
      </c>
      <c r="D8" s="12">
        <v>4698669820</v>
      </c>
      <c r="E8" s="8">
        <v>8458067545</v>
      </c>
      <c r="F8" s="44">
        <v>10225246976</v>
      </c>
      <c r="G8" s="13">
        <v>11820373650</v>
      </c>
      <c r="H8" s="45"/>
    </row>
    <row r="9" spans="1:9" ht="24.75" customHeight="1">
      <c r="A9" s="42">
        <v>6</v>
      </c>
      <c r="B9" s="43" t="s">
        <v>13</v>
      </c>
      <c r="C9" s="7">
        <v>0</v>
      </c>
      <c r="D9" s="12">
        <v>4530885334</v>
      </c>
      <c r="E9" s="8">
        <v>8967397449</v>
      </c>
      <c r="F9" s="44">
        <v>10254896993</v>
      </c>
      <c r="G9" s="9">
        <v>11882390898</v>
      </c>
      <c r="H9" s="46"/>
    </row>
    <row r="10" spans="1:9" ht="24.75" customHeight="1">
      <c r="A10" s="42">
        <v>7</v>
      </c>
      <c r="B10" s="43" t="s">
        <v>14</v>
      </c>
      <c r="C10" s="7">
        <v>0</v>
      </c>
      <c r="D10" s="12">
        <v>4509368048</v>
      </c>
      <c r="E10" s="8">
        <v>9040895107</v>
      </c>
      <c r="F10" s="47">
        <v>10280723864</v>
      </c>
      <c r="G10" s="9">
        <v>11683742854</v>
      </c>
    </row>
    <row r="11" spans="1:9" ht="24.75" customHeight="1">
      <c r="A11" s="42">
        <v>8</v>
      </c>
      <c r="B11" s="43" t="s">
        <v>15</v>
      </c>
      <c r="C11" s="7">
        <v>0</v>
      </c>
      <c r="D11" s="12">
        <v>4502637081</v>
      </c>
      <c r="E11" s="8">
        <v>9246452219</v>
      </c>
      <c r="F11" s="48">
        <v>10363532765</v>
      </c>
      <c r="G11" s="15">
        <v>11740114450</v>
      </c>
    </row>
    <row r="12" spans="1:9" ht="24.75" customHeight="1">
      <c r="A12" s="42">
        <v>9</v>
      </c>
      <c r="B12" s="43" t="s">
        <v>16</v>
      </c>
      <c r="C12" s="12">
        <v>639458621</v>
      </c>
      <c r="D12" s="12">
        <v>4590825628</v>
      </c>
      <c r="E12" s="11">
        <v>8715993498</v>
      </c>
      <c r="F12" s="47">
        <v>10568087469</v>
      </c>
      <c r="G12" s="12">
        <v>11733530999</v>
      </c>
    </row>
    <row r="13" spans="1:9" ht="24.75" customHeight="1">
      <c r="A13" s="42">
        <v>10</v>
      </c>
      <c r="B13" s="43" t="s">
        <v>17</v>
      </c>
      <c r="C13" s="12">
        <v>3328425910</v>
      </c>
      <c r="D13" s="12">
        <v>4530112521</v>
      </c>
      <c r="E13" s="8">
        <v>9814407235</v>
      </c>
      <c r="F13" s="47">
        <v>10788450406</v>
      </c>
      <c r="G13" s="9">
        <v>11039576921</v>
      </c>
    </row>
    <row r="14" spans="1:9" ht="24.75" customHeight="1">
      <c r="A14" s="42">
        <v>11</v>
      </c>
      <c r="B14" s="43" t="s">
        <v>18</v>
      </c>
      <c r="C14" s="8">
        <v>5838459649</v>
      </c>
      <c r="D14" s="12">
        <v>4520275650</v>
      </c>
      <c r="E14" s="8">
        <v>10302934783</v>
      </c>
      <c r="F14" s="47">
        <v>11093795042</v>
      </c>
      <c r="G14" s="16">
        <v>12134930900</v>
      </c>
    </row>
    <row r="15" spans="1:9" ht="24.75" customHeight="1">
      <c r="A15" s="42">
        <v>12</v>
      </c>
      <c r="B15" s="43" t="s">
        <v>19</v>
      </c>
      <c r="C15" s="8">
        <v>7286655863</v>
      </c>
      <c r="D15" s="12">
        <v>4423100223</v>
      </c>
      <c r="E15" s="11">
        <v>8496615756</v>
      </c>
      <c r="F15" s="49">
        <v>11701200024</v>
      </c>
      <c r="G15" s="9">
        <v>11997275694</v>
      </c>
    </row>
    <row r="16" spans="1:9" ht="24.75" customHeight="1">
      <c r="A16" s="50"/>
      <c r="B16" s="51" t="s">
        <v>20</v>
      </c>
      <c r="C16" s="23">
        <f>SUM(C11:C15)</f>
        <v>17093000043</v>
      </c>
      <c r="D16" s="23">
        <f t="shared" ref="D16:G16" si="0">SUM(D4:D15)</f>
        <v>69626987071</v>
      </c>
      <c r="E16" s="23">
        <f t="shared" si="0"/>
        <v>106441639337</v>
      </c>
      <c r="F16" s="52">
        <f t="shared" si="0"/>
        <v>125132999874</v>
      </c>
      <c r="G16" s="23">
        <f t="shared" si="0"/>
        <v>141324552130</v>
      </c>
      <c r="I16" s="18"/>
    </row>
    <row r="17" spans="1:7" ht="14.5">
      <c r="A17" s="53"/>
      <c r="B17" s="53"/>
      <c r="C17" s="53"/>
      <c r="D17" s="53"/>
      <c r="E17" s="53"/>
      <c r="F17" s="53"/>
      <c r="G17" s="53"/>
    </row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0C4D-9051-4ECE-B61A-7095BCAF4812}">
  <dimension ref="A2:F11"/>
  <sheetViews>
    <sheetView workbookViewId="0">
      <selection activeCell="H8" sqref="H8"/>
    </sheetView>
  </sheetViews>
  <sheetFormatPr defaultRowHeight="14.5"/>
  <cols>
    <col min="1" max="6" width="19.90625" customWidth="1"/>
  </cols>
  <sheetData>
    <row r="2" spans="1:6" ht="15" thickBot="1"/>
    <row r="3" spans="1:6" ht="15" thickBot="1">
      <c r="A3" s="276" t="s">
        <v>104</v>
      </c>
      <c r="B3" s="277" t="s">
        <v>105</v>
      </c>
      <c r="C3" s="277" t="s">
        <v>92</v>
      </c>
      <c r="D3" s="277" t="s">
        <v>93</v>
      </c>
      <c r="E3" s="277" t="s">
        <v>106</v>
      </c>
      <c r="F3" s="278" t="s">
        <v>107</v>
      </c>
    </row>
    <row r="4" spans="1:6" ht="21.5" customHeight="1">
      <c r="A4" s="279" t="s">
        <v>108</v>
      </c>
      <c r="B4" s="280">
        <v>67000000000</v>
      </c>
      <c r="C4" s="280">
        <v>45911298165</v>
      </c>
      <c r="D4" s="280">
        <v>9154881508</v>
      </c>
      <c r="E4" s="280">
        <v>55066179673</v>
      </c>
      <c r="F4" s="281">
        <f>E4/B4</f>
        <v>0.82188327870149258</v>
      </c>
    </row>
    <row r="5" spans="1:6" ht="21.5" customHeight="1">
      <c r="A5" s="279" t="s">
        <v>75</v>
      </c>
      <c r="B5" s="280">
        <v>28000000000</v>
      </c>
      <c r="C5" s="280">
        <v>14913125558</v>
      </c>
      <c r="D5" s="280">
        <v>8164196211</v>
      </c>
      <c r="E5" s="280">
        <v>23077321769</v>
      </c>
      <c r="F5" s="281">
        <f t="shared" ref="F5:F10" si="0">E5/B5</f>
        <v>0.82419006317857146</v>
      </c>
    </row>
    <row r="6" spans="1:6" ht="21.5" customHeight="1">
      <c r="A6" s="279" t="s">
        <v>76</v>
      </c>
      <c r="B6" s="280">
        <v>27000000000</v>
      </c>
      <c r="C6" s="280">
        <v>14604787146</v>
      </c>
      <c r="D6" s="280">
        <v>11295896301</v>
      </c>
      <c r="E6" s="280">
        <v>25900683447</v>
      </c>
      <c r="F6" s="281">
        <f t="shared" si="0"/>
        <v>0.95928457211111107</v>
      </c>
    </row>
    <row r="7" spans="1:6" ht="21.5" customHeight="1">
      <c r="A7" s="279" t="s">
        <v>77</v>
      </c>
      <c r="B7" s="280">
        <v>41000000000</v>
      </c>
      <c r="C7" s="280">
        <v>21364871231</v>
      </c>
      <c r="D7" s="280">
        <v>9188714443</v>
      </c>
      <c r="E7" s="280">
        <v>30553585674</v>
      </c>
      <c r="F7" s="281">
        <f t="shared" si="0"/>
        <v>0.74520940668292679</v>
      </c>
    </row>
    <row r="8" spans="1:6" ht="21.5" customHeight="1">
      <c r="A8" s="279" t="s">
        <v>78</v>
      </c>
      <c r="B8" s="280">
        <v>70000000000</v>
      </c>
      <c r="C8" s="280">
        <v>33432005359</v>
      </c>
      <c r="D8" s="280">
        <v>17162263990</v>
      </c>
      <c r="E8" s="280">
        <v>50594269349</v>
      </c>
      <c r="F8" s="281">
        <f t="shared" si="0"/>
        <v>0.72277527641428574</v>
      </c>
    </row>
    <row r="9" spans="1:6" ht="21.5" customHeight="1">
      <c r="A9" s="279" t="s">
        <v>79</v>
      </c>
      <c r="B9" s="280">
        <v>63000000000</v>
      </c>
      <c r="C9" s="280">
        <v>35462380629</v>
      </c>
      <c r="D9" s="280">
        <v>24621485047</v>
      </c>
      <c r="E9" s="280">
        <v>60083865676</v>
      </c>
      <c r="F9" s="281">
        <f t="shared" si="0"/>
        <v>0.95371215358730155</v>
      </c>
    </row>
    <row r="10" spans="1:6" ht="21.5" customHeight="1" thickBot="1">
      <c r="A10" s="279" t="s">
        <v>109</v>
      </c>
      <c r="B10" s="280">
        <v>4000000000</v>
      </c>
      <c r="C10" s="280">
        <v>2152966248</v>
      </c>
      <c r="D10" s="280">
        <v>508401477</v>
      </c>
      <c r="E10" s="280">
        <v>2661367725</v>
      </c>
      <c r="F10" s="281">
        <f t="shared" si="0"/>
        <v>0.66534193124999996</v>
      </c>
    </row>
    <row r="11" spans="1:6" ht="21.5" customHeight="1" thickBot="1">
      <c r="A11" s="282" t="s">
        <v>110</v>
      </c>
      <c r="B11" s="283">
        <f>SUM(B4:B10)</f>
        <v>300000000000</v>
      </c>
      <c r="C11" s="283">
        <f t="shared" ref="C11:E11" si="1">SUM(C4:C10)</f>
        <v>167841434336</v>
      </c>
      <c r="D11" s="283">
        <f t="shared" si="1"/>
        <v>80095838977</v>
      </c>
      <c r="E11" s="283">
        <f t="shared" si="1"/>
        <v>247937273313</v>
      </c>
      <c r="F11" s="284">
        <f>E11/B11</f>
        <v>0.82645757770999995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Perkanal Jakpus 2023</vt:lpstr>
      <vt:lpstr>Perkanal Jakut 2023</vt:lpstr>
      <vt:lpstr>Perkanal Jakbar 2023</vt:lpstr>
      <vt:lpstr>Perkanal Jaksel 2023</vt:lpstr>
      <vt:lpstr>Perkanal Jaktim 2023</vt:lpstr>
      <vt:lpstr>Perkanal P1000 2023</vt:lpstr>
      <vt:lpstr>TKD+Non_2019-2023</vt:lpstr>
      <vt:lpstr>TKD_2019-2023</vt:lpstr>
      <vt:lpstr>Per Wilayah</vt:lpstr>
      <vt:lpstr>Perkanal Prov &amp; Wil</vt:lpstr>
      <vt:lpstr>TKD-Non</vt:lpstr>
      <vt:lpstr>rekap TKD</vt:lpstr>
      <vt:lpstr>Wilayah</vt:lpstr>
      <vt:lpstr>Divisi</vt:lpstr>
      <vt:lpstr>penjumlahan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effas</dc:creator>
  <cp:lastModifiedBy>Dina Makarim</cp:lastModifiedBy>
  <dcterms:created xsi:type="dcterms:W3CDTF">2023-03-02T02:58:35Z</dcterms:created>
  <dcterms:modified xsi:type="dcterms:W3CDTF">2024-03-25T07:51:06Z</dcterms:modified>
</cp:coreProperties>
</file>